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Кинопарк\!!!!!!!ЭКСПЛУАТАЦИЯ 2026\уборка территории\"/>
    </mc:Choice>
  </mc:AlternateContent>
  <xr:revisionPtr revIDLastSave="0" documentId="13_ncr:1_{584B15D9-35C0-46B2-8EEB-C299FB3BC991}" xr6:coauthVersionLast="47" xr6:coauthVersionMax="47" xr10:uidLastSave="{00000000-0000-0000-0000-000000000000}"/>
  <bookViews>
    <workbookView xWindow="-38520" yWindow="-120" windowWidth="38640" windowHeight="21120" xr2:uid="{BA3DAA50-7171-4939-8783-088FF8380538}"/>
  </bookViews>
  <sheets>
    <sheet name="Смета СН-2012 по гл. 1-5,7" sheetId="7" r:id="rId1"/>
    <sheet name="Ведомость объемов работ" sheetId="8" r:id="rId2"/>
    <sheet name="Source" sheetId="1" r:id="rId3"/>
    <sheet name="SourceObSm" sheetId="2" r:id="rId4"/>
    <sheet name="SmtRes" sheetId="3" r:id="rId5"/>
    <sheet name="EtalonRes" sheetId="4" r:id="rId6"/>
    <sheet name="SrcPoprs" sheetId="5" r:id="rId7"/>
    <sheet name="SrcKA" sheetId="6" r:id="rId8"/>
  </sheets>
  <definedNames>
    <definedName name="_xlnm.Print_Titles" localSheetId="1">'Ведомость объемов работ'!$17:$17</definedName>
    <definedName name="_xlnm.Print_Titles" localSheetId="0">'Смета СН-2012 по гл. 1-5,7'!$31:$31</definedName>
    <definedName name="_xlnm.Print_Area" localSheetId="1">'Ведомость объемов работ'!$A$1:$F$47</definedName>
    <definedName name="_xlnm.Print_Area" localSheetId="0">'Смета СН-2012 по гл. 1-5,7'!$A$1:$K$185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47" i="1" l="1"/>
  <c r="F214" i="1"/>
  <c r="D45" i="8"/>
  <c r="D43" i="8"/>
  <c r="E40" i="8"/>
  <c r="C40" i="8"/>
  <c r="B40" i="8"/>
  <c r="E39" i="8"/>
  <c r="C39" i="8"/>
  <c r="B39" i="8"/>
  <c r="E38" i="8"/>
  <c r="C38" i="8"/>
  <c r="B38" i="8"/>
  <c r="E37" i="8"/>
  <c r="C37" i="8"/>
  <c r="B37" i="8"/>
  <c r="A36" i="8"/>
  <c r="E35" i="8"/>
  <c r="C35" i="8"/>
  <c r="B35" i="8"/>
  <c r="E34" i="8"/>
  <c r="C34" i="8"/>
  <c r="B34" i="8"/>
  <c r="E33" i="8"/>
  <c r="C33" i="8"/>
  <c r="B33" i="8"/>
  <c r="E32" i="8"/>
  <c r="C32" i="8"/>
  <c r="B32" i="8"/>
  <c r="A31" i="8"/>
  <c r="E30" i="8"/>
  <c r="C30" i="8"/>
  <c r="B30" i="8"/>
  <c r="E29" i="8"/>
  <c r="C29" i="8"/>
  <c r="B29" i="8"/>
  <c r="E28" i="8"/>
  <c r="C28" i="8"/>
  <c r="B28" i="8"/>
  <c r="E27" i="8"/>
  <c r="C27" i="8"/>
  <c r="B27" i="8"/>
  <c r="E26" i="8"/>
  <c r="C26" i="8"/>
  <c r="B26" i="8"/>
  <c r="E25" i="8"/>
  <c r="C25" i="8"/>
  <c r="B25" i="8"/>
  <c r="E24" i="8"/>
  <c r="C24" i="8"/>
  <c r="B24" i="8"/>
  <c r="E23" i="8"/>
  <c r="C23" i="8"/>
  <c r="B23" i="8"/>
  <c r="E22" i="8"/>
  <c r="C22" i="8"/>
  <c r="B22" i="8"/>
  <c r="E21" i="8"/>
  <c r="C21" i="8"/>
  <c r="B21" i="8"/>
  <c r="E20" i="8"/>
  <c r="C20" i="8"/>
  <c r="B20" i="8"/>
  <c r="A19" i="8"/>
  <c r="A18" i="8"/>
  <c r="B14" i="8"/>
  <c r="B13" i="8"/>
  <c r="B12" i="8"/>
  <c r="A1" i="8"/>
  <c r="H183" i="7"/>
  <c r="H180" i="7"/>
  <c r="C183" i="7"/>
  <c r="C180" i="7"/>
  <c r="C177" i="7"/>
  <c r="I176" i="7"/>
  <c r="C176" i="7"/>
  <c r="I175" i="7"/>
  <c r="C175" i="7"/>
  <c r="I26" i="7"/>
  <c r="I25" i="7"/>
  <c r="I24" i="7"/>
  <c r="I23" i="7"/>
  <c r="I22" i="7"/>
  <c r="I21" i="7"/>
  <c r="A174" i="7"/>
  <c r="I172" i="7"/>
  <c r="C172" i="7"/>
  <c r="I171" i="7"/>
  <c r="C171" i="7"/>
  <c r="A169" i="7"/>
  <c r="A166" i="7"/>
  <c r="K160" i="7"/>
  <c r="H160" i="7"/>
  <c r="G160" i="7"/>
  <c r="E160" i="7"/>
  <c r="J159" i="7"/>
  <c r="E159" i="7"/>
  <c r="J158" i="7"/>
  <c r="E158" i="7"/>
  <c r="J157" i="7"/>
  <c r="E157" i="7"/>
  <c r="J156" i="7"/>
  <c r="I156" i="7"/>
  <c r="H156" i="7"/>
  <c r="F156" i="7"/>
  <c r="V156" i="7"/>
  <c r="T156" i="7"/>
  <c r="R156" i="7"/>
  <c r="U156" i="7"/>
  <c r="S156" i="7"/>
  <c r="Q156" i="7"/>
  <c r="E156" i="7"/>
  <c r="D156" i="7"/>
  <c r="C156" i="7"/>
  <c r="B156" i="7"/>
  <c r="J155" i="7"/>
  <c r="I155" i="7"/>
  <c r="H155" i="7"/>
  <c r="G155" i="7"/>
  <c r="F155" i="7"/>
  <c r="J154" i="7"/>
  <c r="I154" i="7"/>
  <c r="H154" i="7"/>
  <c r="G154" i="7"/>
  <c r="F154" i="7"/>
  <c r="J153" i="7"/>
  <c r="I161" i="7" s="1"/>
  <c r="I153" i="7"/>
  <c r="H153" i="7"/>
  <c r="G153" i="7"/>
  <c r="F153" i="7"/>
  <c r="J152" i="7"/>
  <c r="I152" i="7"/>
  <c r="H152" i="7"/>
  <c r="G152" i="7"/>
  <c r="F152" i="7"/>
  <c r="V151" i="7"/>
  <c r="T151" i="7"/>
  <c r="R151" i="7"/>
  <c r="U151" i="7"/>
  <c r="S151" i="7"/>
  <c r="Q151" i="7"/>
  <c r="E151" i="7"/>
  <c r="D151" i="7"/>
  <c r="C151" i="7"/>
  <c r="B151" i="7"/>
  <c r="K149" i="7"/>
  <c r="H149" i="7"/>
  <c r="G149" i="7"/>
  <c r="E149" i="7"/>
  <c r="E148" i="7"/>
  <c r="J147" i="7"/>
  <c r="E147" i="7"/>
  <c r="J146" i="7"/>
  <c r="E146" i="7"/>
  <c r="J145" i="7"/>
  <c r="I145" i="7"/>
  <c r="H145" i="7"/>
  <c r="G145" i="7"/>
  <c r="F145" i="7"/>
  <c r="J144" i="7"/>
  <c r="I144" i="7"/>
  <c r="H144" i="7"/>
  <c r="G144" i="7"/>
  <c r="F144" i="7"/>
  <c r="J143" i="7"/>
  <c r="I143" i="7"/>
  <c r="H143" i="7"/>
  <c r="G143" i="7"/>
  <c r="F143" i="7"/>
  <c r="C142" i="7"/>
  <c r="V141" i="7"/>
  <c r="J148" i="7" s="1"/>
  <c r="I150" i="7" s="1"/>
  <c r="T141" i="7"/>
  <c r="R141" i="7"/>
  <c r="U141" i="7"/>
  <c r="S141" i="7"/>
  <c r="Q141" i="7"/>
  <c r="E141" i="7"/>
  <c r="D141" i="7"/>
  <c r="C141" i="7"/>
  <c r="B141" i="7"/>
  <c r="K139" i="7"/>
  <c r="H139" i="7"/>
  <c r="G139" i="7"/>
  <c r="E139" i="7"/>
  <c r="J138" i="7"/>
  <c r="E138" i="7"/>
  <c r="E137" i="7"/>
  <c r="J136" i="7"/>
  <c r="I136" i="7"/>
  <c r="H136" i="7"/>
  <c r="G136" i="7"/>
  <c r="F136" i="7"/>
  <c r="J135" i="7"/>
  <c r="I135" i="7"/>
  <c r="H135" i="7"/>
  <c r="G135" i="7"/>
  <c r="F135" i="7"/>
  <c r="V134" i="7"/>
  <c r="T134" i="7"/>
  <c r="R134" i="7"/>
  <c r="J137" i="7" s="1"/>
  <c r="I140" i="7" s="1"/>
  <c r="U134" i="7"/>
  <c r="S134" i="7"/>
  <c r="Q134" i="7"/>
  <c r="E134" i="7"/>
  <c r="D134" i="7"/>
  <c r="C134" i="7"/>
  <c r="B134" i="7"/>
  <c r="A133" i="7"/>
  <c r="E127" i="7"/>
  <c r="J126" i="7"/>
  <c r="I126" i="7"/>
  <c r="H126" i="7"/>
  <c r="F126" i="7"/>
  <c r="V126" i="7"/>
  <c r="T126" i="7"/>
  <c r="R126" i="7"/>
  <c r="U126" i="7"/>
  <c r="S126" i="7"/>
  <c r="Q126" i="7"/>
  <c r="E126" i="7"/>
  <c r="D126" i="7"/>
  <c r="C126" i="7"/>
  <c r="B126" i="7"/>
  <c r="J125" i="7"/>
  <c r="I125" i="7"/>
  <c r="H125" i="7"/>
  <c r="G125" i="7"/>
  <c r="F125" i="7"/>
  <c r="J124" i="7"/>
  <c r="I124" i="7"/>
  <c r="H124" i="7"/>
  <c r="G124" i="7"/>
  <c r="F124" i="7"/>
  <c r="J123" i="7"/>
  <c r="I123" i="7"/>
  <c r="H123" i="7"/>
  <c r="G123" i="7"/>
  <c r="F123" i="7"/>
  <c r="V122" i="7"/>
  <c r="J127" i="7" s="1"/>
  <c r="T122" i="7"/>
  <c r="R122" i="7"/>
  <c r="U122" i="7"/>
  <c r="S122" i="7"/>
  <c r="Q122" i="7"/>
  <c r="E122" i="7"/>
  <c r="D122" i="7"/>
  <c r="C122" i="7"/>
  <c r="B122" i="7"/>
  <c r="K120" i="7"/>
  <c r="H120" i="7"/>
  <c r="G120" i="7"/>
  <c r="E120" i="7"/>
  <c r="E119" i="7"/>
  <c r="J118" i="7"/>
  <c r="E118" i="7"/>
  <c r="J117" i="7"/>
  <c r="I117" i="7"/>
  <c r="H117" i="7"/>
  <c r="G117" i="7"/>
  <c r="F117" i="7"/>
  <c r="V116" i="7"/>
  <c r="T116" i="7"/>
  <c r="J119" i="7" s="1"/>
  <c r="R116" i="7"/>
  <c r="U116" i="7"/>
  <c r="S116" i="7"/>
  <c r="Q116" i="7"/>
  <c r="E116" i="7"/>
  <c r="D116" i="7"/>
  <c r="C116" i="7"/>
  <c r="B116" i="7"/>
  <c r="J114" i="7"/>
  <c r="E114" i="7"/>
  <c r="J113" i="7"/>
  <c r="I115" i="7" s="1"/>
  <c r="I113" i="7"/>
  <c r="H113" i="7"/>
  <c r="G113" i="7"/>
  <c r="F113" i="7"/>
  <c r="J112" i="7"/>
  <c r="I112" i="7"/>
  <c r="H112" i="7"/>
  <c r="G112" i="7"/>
  <c r="F112" i="7"/>
  <c r="J111" i="7"/>
  <c r="I111" i="7"/>
  <c r="H111" i="7"/>
  <c r="G111" i="7"/>
  <c r="F111" i="7"/>
  <c r="V110" i="7"/>
  <c r="T110" i="7"/>
  <c r="R110" i="7"/>
  <c r="U110" i="7"/>
  <c r="S110" i="7"/>
  <c r="Q110" i="7"/>
  <c r="E110" i="7"/>
  <c r="D110" i="7"/>
  <c r="C110" i="7"/>
  <c r="B110" i="7"/>
  <c r="A109" i="7"/>
  <c r="E103" i="7"/>
  <c r="J102" i="7"/>
  <c r="I102" i="7"/>
  <c r="H102" i="7"/>
  <c r="G102" i="7"/>
  <c r="F102" i="7"/>
  <c r="J101" i="7"/>
  <c r="I104" i="7" s="1"/>
  <c r="I101" i="7"/>
  <c r="H101" i="7"/>
  <c r="G101" i="7"/>
  <c r="F101" i="7"/>
  <c r="V100" i="7"/>
  <c r="J103" i="7" s="1"/>
  <c r="T100" i="7"/>
  <c r="R100" i="7"/>
  <c r="U100" i="7"/>
  <c r="S100" i="7"/>
  <c r="Q100" i="7"/>
  <c r="E100" i="7"/>
  <c r="D100" i="7"/>
  <c r="C100" i="7"/>
  <c r="B100" i="7"/>
  <c r="K98" i="7"/>
  <c r="H98" i="7"/>
  <c r="G98" i="7"/>
  <c r="E98" i="7"/>
  <c r="J97" i="7"/>
  <c r="E97" i="7"/>
  <c r="J96" i="7"/>
  <c r="E96" i="7"/>
  <c r="J95" i="7"/>
  <c r="E95" i="7"/>
  <c r="J94" i="7"/>
  <c r="I94" i="7"/>
  <c r="H94" i="7"/>
  <c r="G94" i="7"/>
  <c r="F94" i="7"/>
  <c r="J93" i="7"/>
  <c r="I99" i="7" s="1"/>
  <c r="I93" i="7"/>
  <c r="H93" i="7"/>
  <c r="G93" i="7"/>
  <c r="F93" i="7"/>
  <c r="J92" i="7"/>
  <c r="I92" i="7"/>
  <c r="H92" i="7"/>
  <c r="G92" i="7"/>
  <c r="F92" i="7"/>
  <c r="V91" i="7"/>
  <c r="T91" i="7"/>
  <c r="R91" i="7"/>
  <c r="U91" i="7"/>
  <c r="S91" i="7"/>
  <c r="Q91" i="7"/>
  <c r="E91" i="7"/>
  <c r="D91" i="7"/>
  <c r="C91" i="7"/>
  <c r="B91" i="7"/>
  <c r="K89" i="7"/>
  <c r="H89" i="7"/>
  <c r="G89" i="7"/>
  <c r="E89" i="7"/>
  <c r="E88" i="7"/>
  <c r="E87" i="7"/>
  <c r="J86" i="7"/>
  <c r="I86" i="7"/>
  <c r="H86" i="7"/>
  <c r="G86" i="7"/>
  <c r="F86" i="7"/>
  <c r="V85" i="7"/>
  <c r="T85" i="7"/>
  <c r="J88" i="7" s="1"/>
  <c r="R85" i="7"/>
  <c r="J87" i="7" s="1"/>
  <c r="I90" i="7" s="1"/>
  <c r="U85" i="7"/>
  <c r="S85" i="7"/>
  <c r="Q85" i="7"/>
  <c r="E85" i="7"/>
  <c r="D85" i="7"/>
  <c r="C85" i="7"/>
  <c r="B85" i="7"/>
  <c r="K83" i="7"/>
  <c r="H83" i="7"/>
  <c r="G83" i="7"/>
  <c r="E83" i="7"/>
  <c r="E82" i="7"/>
  <c r="E81" i="7"/>
  <c r="E80" i="7"/>
  <c r="J79" i="7"/>
  <c r="I79" i="7"/>
  <c r="H79" i="7"/>
  <c r="G79" i="7"/>
  <c r="F79" i="7"/>
  <c r="J78" i="7"/>
  <c r="I78" i="7"/>
  <c r="H78" i="7"/>
  <c r="G78" i="7"/>
  <c r="F78" i="7"/>
  <c r="J77" i="7"/>
  <c r="I77" i="7"/>
  <c r="H77" i="7"/>
  <c r="G77" i="7"/>
  <c r="F77" i="7"/>
  <c r="J76" i="7"/>
  <c r="I76" i="7"/>
  <c r="H76" i="7"/>
  <c r="G76" i="7"/>
  <c r="F76" i="7"/>
  <c r="V75" i="7"/>
  <c r="J82" i="7" s="1"/>
  <c r="T75" i="7"/>
  <c r="J81" i="7" s="1"/>
  <c r="R75" i="7"/>
  <c r="J80" i="7" s="1"/>
  <c r="U75" i="7"/>
  <c r="S75" i="7"/>
  <c r="Q75" i="7"/>
  <c r="E75" i="7"/>
  <c r="D75" i="7"/>
  <c r="C75" i="7"/>
  <c r="B75" i="7"/>
  <c r="K73" i="7"/>
  <c r="H73" i="7"/>
  <c r="G73" i="7"/>
  <c r="E73" i="7"/>
  <c r="E72" i="7"/>
  <c r="E71" i="7"/>
  <c r="J70" i="7"/>
  <c r="I70" i="7"/>
  <c r="H70" i="7"/>
  <c r="G70" i="7"/>
  <c r="F70" i="7"/>
  <c r="J69" i="7"/>
  <c r="I69" i="7"/>
  <c r="H69" i="7"/>
  <c r="G69" i="7"/>
  <c r="F69" i="7"/>
  <c r="V68" i="7"/>
  <c r="T68" i="7"/>
  <c r="J72" i="7" s="1"/>
  <c r="R68" i="7"/>
  <c r="J71" i="7" s="1"/>
  <c r="U68" i="7"/>
  <c r="S68" i="7"/>
  <c r="Q68" i="7"/>
  <c r="E68" i="7"/>
  <c r="D68" i="7"/>
  <c r="C68" i="7"/>
  <c r="B68" i="7"/>
  <c r="K66" i="7"/>
  <c r="H66" i="7"/>
  <c r="G66" i="7"/>
  <c r="E66" i="7"/>
  <c r="J65" i="7"/>
  <c r="E65" i="7"/>
  <c r="J64" i="7"/>
  <c r="E64" i="7"/>
  <c r="J63" i="7"/>
  <c r="I67" i="7" s="1"/>
  <c r="I63" i="7"/>
  <c r="H63" i="7"/>
  <c r="G63" i="7"/>
  <c r="F63" i="7"/>
  <c r="V62" i="7"/>
  <c r="T62" i="7"/>
  <c r="R62" i="7"/>
  <c r="U62" i="7"/>
  <c r="S62" i="7"/>
  <c r="Q62" i="7"/>
  <c r="E62" i="7"/>
  <c r="D62" i="7"/>
  <c r="C62" i="7"/>
  <c r="B62" i="7"/>
  <c r="K60" i="7"/>
  <c r="H60" i="7"/>
  <c r="G60" i="7"/>
  <c r="E60" i="7"/>
  <c r="J59" i="7"/>
  <c r="E59" i="7"/>
  <c r="J58" i="7"/>
  <c r="I61" i="7" s="1"/>
  <c r="E58" i="7"/>
  <c r="J57" i="7"/>
  <c r="I57" i="7"/>
  <c r="H57" i="7"/>
  <c r="G57" i="7"/>
  <c r="F57" i="7"/>
  <c r="V56" i="7"/>
  <c r="T56" i="7"/>
  <c r="R56" i="7"/>
  <c r="U56" i="7"/>
  <c r="S56" i="7"/>
  <c r="Q56" i="7"/>
  <c r="E56" i="7"/>
  <c r="D56" i="7"/>
  <c r="C56" i="7"/>
  <c r="B56" i="7"/>
  <c r="J54" i="7"/>
  <c r="I55" i="7" s="1"/>
  <c r="E54" i="7"/>
  <c r="J53" i="7"/>
  <c r="I53" i="7"/>
  <c r="H53" i="7"/>
  <c r="F53" i="7"/>
  <c r="V53" i="7"/>
  <c r="T53" i="7"/>
  <c r="R53" i="7"/>
  <c r="U53" i="7"/>
  <c r="S53" i="7"/>
  <c r="Q53" i="7"/>
  <c r="E53" i="7"/>
  <c r="D53" i="7"/>
  <c r="C53" i="7"/>
  <c r="B53" i="7"/>
  <c r="J52" i="7"/>
  <c r="I52" i="7"/>
  <c r="H52" i="7"/>
  <c r="G52" i="7"/>
  <c r="F52" i="7"/>
  <c r="J51" i="7"/>
  <c r="I51" i="7"/>
  <c r="H51" i="7"/>
  <c r="G51" i="7"/>
  <c r="F51" i="7"/>
  <c r="J50" i="7"/>
  <c r="I50" i="7"/>
  <c r="H50" i="7"/>
  <c r="G50" i="7"/>
  <c r="F50" i="7"/>
  <c r="V49" i="7"/>
  <c r="T49" i="7"/>
  <c r="R49" i="7"/>
  <c r="U49" i="7"/>
  <c r="S49" i="7"/>
  <c r="Q49" i="7"/>
  <c r="E49" i="7"/>
  <c r="D49" i="7"/>
  <c r="C49" i="7"/>
  <c r="B49" i="7"/>
  <c r="K47" i="7"/>
  <c r="H47" i="7"/>
  <c r="G47" i="7"/>
  <c r="E47" i="7"/>
  <c r="E46" i="7"/>
  <c r="E45" i="7"/>
  <c r="J44" i="7"/>
  <c r="I44" i="7"/>
  <c r="H44" i="7"/>
  <c r="G44" i="7"/>
  <c r="F44" i="7"/>
  <c r="V43" i="7"/>
  <c r="T43" i="7"/>
  <c r="J46" i="7" s="1"/>
  <c r="R43" i="7"/>
  <c r="J45" i="7" s="1"/>
  <c r="I48" i="7" s="1"/>
  <c r="U43" i="7"/>
  <c r="S43" i="7"/>
  <c r="Q43" i="7"/>
  <c r="E43" i="7"/>
  <c r="D43" i="7"/>
  <c r="C43" i="7"/>
  <c r="B43" i="7"/>
  <c r="E41" i="7"/>
  <c r="J40" i="7"/>
  <c r="I40" i="7"/>
  <c r="H40" i="7"/>
  <c r="G40" i="7"/>
  <c r="F40" i="7"/>
  <c r="J39" i="7"/>
  <c r="I39" i="7"/>
  <c r="H39" i="7"/>
  <c r="G39" i="7"/>
  <c r="F39" i="7"/>
  <c r="V38" i="7"/>
  <c r="J41" i="7" s="1"/>
  <c r="I42" i="7" s="1"/>
  <c r="T38" i="7"/>
  <c r="R38" i="7"/>
  <c r="U38" i="7"/>
  <c r="S38" i="7"/>
  <c r="Q38" i="7"/>
  <c r="E38" i="7"/>
  <c r="D38" i="7"/>
  <c r="C38" i="7"/>
  <c r="B38" i="7"/>
  <c r="A37" i="7"/>
  <c r="A35" i="7"/>
  <c r="A33" i="7"/>
  <c r="A19" i="7"/>
  <c r="A16" i="7"/>
  <c r="A13" i="7"/>
  <c r="A10" i="7"/>
  <c r="G6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1" i="3"/>
  <c r="Y1" i="3"/>
  <c r="CW1" i="3"/>
  <c r="CX1" i="3"/>
  <c r="CY1" i="3"/>
  <c r="CZ1" i="3"/>
  <c r="DA1" i="3"/>
  <c r="DB1" i="3"/>
  <c r="DC1" i="3"/>
  <c r="DF1" i="3"/>
  <c r="DG1" i="3"/>
  <c r="DJ1" i="3" s="1"/>
  <c r="DH1" i="3"/>
  <c r="DI1" i="3"/>
  <c r="A2" i="3"/>
  <c r="Y2" i="3"/>
  <c r="CU2" i="3"/>
  <c r="CV2" i="3"/>
  <c r="CX2" i="3"/>
  <c r="CY2" i="3"/>
  <c r="CZ2" i="3"/>
  <c r="DA2" i="3"/>
  <c r="DB2" i="3"/>
  <c r="DC2" i="3"/>
  <c r="DF2" i="3"/>
  <c r="DG2" i="3"/>
  <c r="DH2" i="3"/>
  <c r="DI2" i="3"/>
  <c r="DJ2" i="3"/>
  <c r="A3" i="3"/>
  <c r="Y3" i="3"/>
  <c r="CW3" i="3"/>
  <c r="CX3" i="3"/>
  <c r="CY3" i="3"/>
  <c r="CZ3" i="3"/>
  <c r="DB3" i="3" s="1"/>
  <c r="DA3" i="3"/>
  <c r="DC3" i="3"/>
  <c r="A4" i="3"/>
  <c r="Y4" i="3"/>
  <c r="CX4" i="3"/>
  <c r="CY4" i="3"/>
  <c r="CZ4" i="3"/>
  <c r="DA4" i="3"/>
  <c r="DB4" i="3"/>
  <c r="DC4" i="3"/>
  <c r="DF4" i="3"/>
  <c r="DG4" i="3"/>
  <c r="DH4" i="3"/>
  <c r="DI4" i="3"/>
  <c r="DJ4" i="3"/>
  <c r="A5" i="3"/>
  <c r="Y5" i="3"/>
  <c r="CU5" i="3"/>
  <c r="CV5" i="3"/>
  <c r="CX5" i="3"/>
  <c r="CY5" i="3"/>
  <c r="CZ5" i="3"/>
  <c r="DA5" i="3"/>
  <c r="DB5" i="3"/>
  <c r="DC5" i="3"/>
  <c r="DF5" i="3"/>
  <c r="DG5" i="3"/>
  <c r="DH5" i="3"/>
  <c r="DI5" i="3"/>
  <c r="DJ5" i="3"/>
  <c r="A6" i="3"/>
  <c r="Y6" i="3"/>
  <c r="CU6" i="3"/>
  <c r="CV6" i="3"/>
  <c r="CX6" i="3"/>
  <c r="CY6" i="3"/>
  <c r="CZ6" i="3"/>
  <c r="DB6" i="3" s="1"/>
  <c r="DA6" i="3"/>
  <c r="DC6" i="3"/>
  <c r="DH6" i="3"/>
  <c r="DI6" i="3"/>
  <c r="DJ6" i="3" s="1"/>
  <c r="A7" i="3"/>
  <c r="Y7" i="3"/>
  <c r="CU7" i="3"/>
  <c r="CV7" i="3"/>
  <c r="CX7" i="3"/>
  <c r="CY7" i="3"/>
  <c r="CZ7" i="3"/>
  <c r="DA7" i="3"/>
  <c r="DB7" i="3"/>
  <c r="DC7" i="3"/>
  <c r="DF7" i="3"/>
  <c r="DG7" i="3"/>
  <c r="DH7" i="3"/>
  <c r="DI7" i="3"/>
  <c r="DJ7" i="3"/>
  <c r="A8" i="3"/>
  <c r="Y8" i="3"/>
  <c r="CX8" i="3"/>
  <c r="CY8" i="3"/>
  <c r="CZ8" i="3"/>
  <c r="DB8" i="3" s="1"/>
  <c r="DA8" i="3"/>
  <c r="DC8" i="3"/>
  <c r="DF8" i="3"/>
  <c r="DG8" i="3"/>
  <c r="DH8" i="3"/>
  <c r="DI8" i="3"/>
  <c r="DJ8" i="3"/>
  <c r="A9" i="3"/>
  <c r="Y9" i="3"/>
  <c r="CU9" i="3"/>
  <c r="CV9" i="3"/>
  <c r="CX9" i="3"/>
  <c r="CY9" i="3"/>
  <c r="CZ9" i="3"/>
  <c r="DA9" i="3"/>
  <c r="DB9" i="3"/>
  <c r="DC9" i="3"/>
  <c r="DI9" i="3"/>
  <c r="DJ9" i="3"/>
  <c r="A10" i="3"/>
  <c r="Y10" i="3"/>
  <c r="CX10" i="3" s="1"/>
  <c r="CW10" i="3"/>
  <c r="CY10" i="3"/>
  <c r="CZ10" i="3"/>
  <c r="DA10" i="3"/>
  <c r="DB10" i="3"/>
  <c r="DC10" i="3"/>
  <c r="A11" i="3"/>
  <c r="Y11" i="3"/>
  <c r="CX11" i="3" s="1"/>
  <c r="CY11" i="3"/>
  <c r="CZ11" i="3"/>
  <c r="DA11" i="3"/>
  <c r="DB11" i="3"/>
  <c r="DC11" i="3"/>
  <c r="DF11" i="3"/>
  <c r="DJ11" i="3" s="1"/>
  <c r="DG11" i="3"/>
  <c r="DH11" i="3"/>
  <c r="DI11" i="3"/>
  <c r="A12" i="3"/>
  <c r="Y12" i="3"/>
  <c r="CU12" i="3"/>
  <c r="CV12" i="3"/>
  <c r="CX12" i="3"/>
  <c r="CY12" i="3"/>
  <c r="CZ12" i="3"/>
  <c r="DA12" i="3"/>
  <c r="DB12" i="3"/>
  <c r="DC12" i="3"/>
  <c r="A13" i="3"/>
  <c r="Y13" i="3"/>
  <c r="CU13" i="3"/>
  <c r="CV13" i="3"/>
  <c r="CX13" i="3"/>
  <c r="CY13" i="3"/>
  <c r="CZ13" i="3"/>
  <c r="DA13" i="3"/>
  <c r="DB13" i="3"/>
  <c r="DC13" i="3"/>
  <c r="DI13" i="3"/>
  <c r="DJ13" i="3"/>
  <c r="A14" i="3"/>
  <c r="Y14" i="3"/>
  <c r="CX14" i="3" s="1"/>
  <c r="CW14" i="3"/>
  <c r="CY14" i="3"/>
  <c r="CZ14" i="3"/>
  <c r="DA14" i="3"/>
  <c r="DB14" i="3"/>
  <c r="DC14" i="3"/>
  <c r="A15" i="3"/>
  <c r="Y15" i="3"/>
  <c r="CW15" i="3"/>
  <c r="CX15" i="3"/>
  <c r="CY15" i="3"/>
  <c r="CZ15" i="3"/>
  <c r="DA15" i="3"/>
  <c r="DB15" i="3"/>
  <c r="DC15" i="3"/>
  <c r="A16" i="3"/>
  <c r="Y16" i="3"/>
  <c r="CY16" i="3"/>
  <c r="CZ16" i="3"/>
  <c r="DB16" i="3" s="1"/>
  <c r="DA16" i="3"/>
  <c r="DC16" i="3"/>
  <c r="A17" i="3"/>
  <c r="Y17" i="3"/>
  <c r="CX17" i="3"/>
  <c r="DF17" i="3" s="1"/>
  <c r="CY17" i="3"/>
  <c r="CZ17" i="3"/>
  <c r="DB17" i="3" s="1"/>
  <c r="DA17" i="3"/>
  <c r="DC17" i="3"/>
  <c r="DG17" i="3"/>
  <c r="DH17" i="3"/>
  <c r="DI17" i="3"/>
  <c r="DJ17" i="3"/>
  <c r="A18" i="3"/>
  <c r="Y18" i="3"/>
  <c r="CU18" i="3"/>
  <c r="CY18" i="3"/>
  <c r="CZ18" i="3"/>
  <c r="DA18" i="3"/>
  <c r="DB18" i="3"/>
  <c r="DC18" i="3"/>
  <c r="A19" i="3"/>
  <c r="Y19" i="3"/>
  <c r="CU19" i="3"/>
  <c r="CV19" i="3"/>
  <c r="CX19" i="3"/>
  <c r="CY19" i="3"/>
  <c r="CZ19" i="3"/>
  <c r="DA19" i="3"/>
  <c r="DB19" i="3"/>
  <c r="DC19" i="3"/>
  <c r="DG19" i="3"/>
  <c r="A20" i="3"/>
  <c r="Y20" i="3"/>
  <c r="CW20" i="3"/>
  <c r="CX20" i="3"/>
  <c r="DF20" i="3" s="1"/>
  <c r="CY20" i="3"/>
  <c r="CZ20" i="3"/>
  <c r="DB20" i="3" s="1"/>
  <c r="DA20" i="3"/>
  <c r="DC20" i="3"/>
  <c r="DG20" i="3"/>
  <c r="DH20" i="3"/>
  <c r="DI20" i="3"/>
  <c r="DJ20" i="3"/>
  <c r="A21" i="3"/>
  <c r="Y21" i="3"/>
  <c r="CX21" i="3"/>
  <c r="CY21" i="3"/>
  <c r="CZ21" i="3"/>
  <c r="DA21" i="3"/>
  <c r="DB21" i="3"/>
  <c r="DC21" i="3"/>
  <c r="A22" i="3"/>
  <c r="Y22" i="3"/>
  <c r="CW22" i="3"/>
  <c r="CX22" i="3"/>
  <c r="CY22" i="3"/>
  <c r="CZ22" i="3"/>
  <c r="DA22" i="3"/>
  <c r="DB22" i="3"/>
  <c r="DC22" i="3"/>
  <c r="DF22" i="3"/>
  <c r="DG22" i="3"/>
  <c r="DJ22" i="3" s="1"/>
  <c r="DH22" i="3"/>
  <c r="DI22" i="3"/>
  <c r="A23" i="3"/>
  <c r="Y23" i="3"/>
  <c r="CX23" i="3"/>
  <c r="CY23" i="3"/>
  <c r="CZ23" i="3"/>
  <c r="DB23" i="3" s="1"/>
  <c r="DA23" i="3"/>
  <c r="DC23" i="3"/>
  <c r="A24" i="3"/>
  <c r="Y24" i="3"/>
  <c r="CX24" i="3"/>
  <c r="CY24" i="3"/>
  <c r="CZ24" i="3"/>
  <c r="DA24" i="3"/>
  <c r="DB24" i="3"/>
  <c r="DC24" i="3"/>
  <c r="DF24" i="3"/>
  <c r="DJ24" i="3" s="1"/>
  <c r="DG24" i="3"/>
  <c r="DH24" i="3"/>
  <c r="DI24" i="3"/>
  <c r="A25" i="3"/>
  <c r="Y25" i="3"/>
  <c r="CU25" i="3"/>
  <c r="CV25" i="3"/>
  <c r="CX25" i="3"/>
  <c r="CY25" i="3"/>
  <c r="CZ25" i="3"/>
  <c r="DA25" i="3"/>
  <c r="DB25" i="3"/>
  <c r="DC25" i="3"/>
  <c r="A26" i="3"/>
  <c r="Y26" i="3"/>
  <c r="CX26" i="3"/>
  <c r="CY26" i="3"/>
  <c r="CZ26" i="3"/>
  <c r="DA26" i="3"/>
  <c r="DB26" i="3"/>
  <c r="DC26" i="3"/>
  <c r="DF26" i="3"/>
  <c r="DJ26" i="3" s="1"/>
  <c r="DI26" i="3"/>
  <c r="A27" i="3"/>
  <c r="Y27" i="3"/>
  <c r="CV27" i="3"/>
  <c r="CX27" i="3"/>
  <c r="CY27" i="3"/>
  <c r="CZ27" i="3"/>
  <c r="DA27" i="3"/>
  <c r="DB27" i="3"/>
  <c r="DC27" i="3"/>
  <c r="A28" i="3"/>
  <c r="Y28" i="3"/>
  <c r="CW28" i="3"/>
  <c r="CX28" i="3"/>
  <c r="CY28" i="3"/>
  <c r="CZ28" i="3"/>
  <c r="DB28" i="3" s="1"/>
  <c r="DA28" i="3"/>
  <c r="DC28" i="3"/>
  <c r="A29" i="3"/>
  <c r="Y29" i="3"/>
  <c r="CU29" i="3"/>
  <c r="CV29" i="3"/>
  <c r="CX29" i="3"/>
  <c r="CY29" i="3"/>
  <c r="CZ29" i="3"/>
  <c r="DA29" i="3"/>
  <c r="DB29" i="3"/>
  <c r="DC29" i="3"/>
  <c r="DF29" i="3"/>
  <c r="DG29" i="3"/>
  <c r="DH29" i="3"/>
  <c r="DI29" i="3"/>
  <c r="DJ29" i="3" s="1"/>
  <c r="A30" i="3"/>
  <c r="Y30" i="3"/>
  <c r="CW30" i="3"/>
  <c r="CX30" i="3"/>
  <c r="CY30" i="3"/>
  <c r="CZ30" i="3"/>
  <c r="DA30" i="3"/>
  <c r="DB30" i="3"/>
  <c r="DC30" i="3"/>
  <c r="DI30" i="3"/>
  <c r="A31" i="3"/>
  <c r="Y31" i="3"/>
  <c r="CX31" i="3"/>
  <c r="CY31" i="3"/>
  <c r="CZ31" i="3"/>
  <c r="DA31" i="3"/>
  <c r="DB31" i="3"/>
  <c r="DC31" i="3"/>
  <c r="DI31" i="3"/>
  <c r="D12" i="1"/>
  <c r="B18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B30" i="1"/>
  <c r="C30" i="1"/>
  <c r="E30" i="1"/>
  <c r="Z30" i="1"/>
  <c r="AA30" i="1"/>
  <c r="AM30" i="1"/>
  <c r="AN30" i="1"/>
  <c r="BC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AC32" i="1"/>
  <c r="AE32" i="1"/>
  <c r="AD32" i="1" s="1"/>
  <c r="AF32" i="1"/>
  <c r="AG32" i="1"/>
  <c r="AH32" i="1"/>
  <c r="AI32" i="1"/>
  <c r="CW32" i="1" s="1"/>
  <c r="V32" i="1" s="1"/>
  <c r="AJ32" i="1"/>
  <c r="CX32" i="1" s="1"/>
  <c r="W32" i="1" s="1"/>
  <c r="CQ32" i="1"/>
  <c r="P32" i="1" s="1"/>
  <c r="CR32" i="1"/>
  <c r="Q32" i="1" s="1"/>
  <c r="CS32" i="1"/>
  <c r="R32" i="1" s="1"/>
  <c r="GK32" i="1" s="1"/>
  <c r="CT32" i="1"/>
  <c r="S32" i="1" s="1"/>
  <c r="CU32" i="1"/>
  <c r="T32" i="1" s="1"/>
  <c r="CV32" i="1"/>
  <c r="U32" i="1" s="1"/>
  <c r="GL32" i="1"/>
  <c r="GN32" i="1"/>
  <c r="GO32" i="1"/>
  <c r="GV32" i="1"/>
  <c r="HC32" i="1"/>
  <c r="GX32" i="1" s="1"/>
  <c r="C33" i="1"/>
  <c r="D33" i="1"/>
  <c r="P33" i="1"/>
  <c r="U33" i="1"/>
  <c r="V33" i="1"/>
  <c r="W33" i="1"/>
  <c r="AB33" i="1"/>
  <c r="AC33" i="1"/>
  <c r="AE33" i="1"/>
  <c r="AD33" i="1" s="1"/>
  <c r="AF33" i="1"/>
  <c r="AG33" i="1"/>
  <c r="AH33" i="1"/>
  <c r="AI33" i="1"/>
  <c r="AJ33" i="1"/>
  <c r="CQ33" i="1"/>
  <c r="CR33" i="1"/>
  <c r="Q33" i="1" s="1"/>
  <c r="CS33" i="1"/>
  <c r="R33" i="1" s="1"/>
  <c r="GK33" i="1" s="1"/>
  <c r="CT33" i="1"/>
  <c r="S33" i="1" s="1"/>
  <c r="CU33" i="1"/>
  <c r="T33" i="1" s="1"/>
  <c r="CV33" i="1"/>
  <c r="CW33" i="1"/>
  <c r="CX33" i="1"/>
  <c r="GL33" i="1"/>
  <c r="GN33" i="1"/>
  <c r="GO33" i="1"/>
  <c r="GV33" i="1"/>
  <c r="HC33" i="1" s="1"/>
  <c r="GX33" i="1" s="1"/>
  <c r="C34" i="1"/>
  <c r="D34" i="1"/>
  <c r="Q34" i="1"/>
  <c r="R34" i="1"/>
  <c r="S34" i="1"/>
  <c r="T34" i="1"/>
  <c r="U34" i="1"/>
  <c r="V34" i="1"/>
  <c r="W34" i="1"/>
  <c r="X34" i="1"/>
  <c r="GM34" i="1" s="1"/>
  <c r="GP34" i="1" s="1"/>
  <c r="Y34" i="1"/>
  <c r="AB34" i="1"/>
  <c r="AC34" i="1"/>
  <c r="CQ34" i="1" s="1"/>
  <c r="P34" i="1" s="1"/>
  <c r="CP34" i="1" s="1"/>
  <c r="O34" i="1" s="1"/>
  <c r="AD34" i="1"/>
  <c r="AE34" i="1"/>
  <c r="AF34" i="1"/>
  <c r="AG34" i="1"/>
  <c r="AH34" i="1"/>
  <c r="CV34" i="1" s="1"/>
  <c r="AI34" i="1"/>
  <c r="AJ34" i="1"/>
  <c r="CR34" i="1"/>
  <c r="CS34" i="1"/>
  <c r="CT34" i="1"/>
  <c r="CU34" i="1"/>
  <c r="CW34" i="1"/>
  <c r="CX34" i="1"/>
  <c r="CY34" i="1"/>
  <c r="CZ34" i="1"/>
  <c r="GK34" i="1"/>
  <c r="GL34" i="1"/>
  <c r="BZ44" i="1" s="1"/>
  <c r="GN34" i="1"/>
  <c r="CB44" i="1" s="1"/>
  <c r="GO34" i="1"/>
  <c r="CC44" i="1" s="1"/>
  <c r="GV34" i="1"/>
  <c r="HC34" i="1"/>
  <c r="GX34" i="1" s="1"/>
  <c r="I35" i="1"/>
  <c r="S35" i="1"/>
  <c r="V35" i="1"/>
  <c r="W35" i="1"/>
  <c r="AC35" i="1"/>
  <c r="AE35" i="1"/>
  <c r="CS35" i="1" s="1"/>
  <c r="R35" i="1" s="1"/>
  <c r="AF35" i="1"/>
  <c r="CT35" i="1" s="1"/>
  <c r="AG35" i="1"/>
  <c r="CU35" i="1" s="1"/>
  <c r="T35" i="1" s="1"/>
  <c r="AH35" i="1"/>
  <c r="AI35" i="1"/>
  <c r="AJ35" i="1"/>
  <c r="CQ35" i="1"/>
  <c r="P35" i="1" s="1"/>
  <c r="CR35" i="1"/>
  <c r="Q35" i="1" s="1"/>
  <c r="CV35" i="1"/>
  <c r="U35" i="1" s="1"/>
  <c r="CW35" i="1"/>
  <c r="CX35" i="1"/>
  <c r="CY35" i="1"/>
  <c r="X35" i="1" s="1"/>
  <c r="CZ35" i="1"/>
  <c r="Y35" i="1" s="1"/>
  <c r="GK35" i="1"/>
  <c r="GL35" i="1"/>
  <c r="GN35" i="1"/>
  <c r="GO35" i="1"/>
  <c r="GV35" i="1"/>
  <c r="HC35" i="1" s="1"/>
  <c r="GX35" i="1"/>
  <c r="C36" i="1"/>
  <c r="D36" i="1"/>
  <c r="P36" i="1"/>
  <c r="V36" i="1"/>
  <c r="W36" i="1"/>
  <c r="AC36" i="1"/>
  <c r="CQ36" i="1" s="1"/>
  <c r="AE36" i="1"/>
  <c r="AF36" i="1"/>
  <c r="CT36" i="1" s="1"/>
  <c r="S36" i="1" s="1"/>
  <c r="AG36" i="1"/>
  <c r="CU36" i="1" s="1"/>
  <c r="T36" i="1" s="1"/>
  <c r="AH36" i="1"/>
  <c r="CV36" i="1" s="1"/>
  <c r="U36" i="1" s="1"/>
  <c r="AI36" i="1"/>
  <c r="AJ36" i="1"/>
  <c r="CW36" i="1"/>
  <c r="CX36" i="1"/>
  <c r="GL36" i="1"/>
  <c r="GN36" i="1"/>
  <c r="GO36" i="1"/>
  <c r="GV36" i="1"/>
  <c r="HC36" i="1"/>
  <c r="GX36" i="1" s="1"/>
  <c r="C37" i="1"/>
  <c r="D37" i="1"/>
  <c r="S37" i="1"/>
  <c r="AC37" i="1"/>
  <c r="CQ37" i="1" s="1"/>
  <c r="P37" i="1" s="1"/>
  <c r="AE37" i="1"/>
  <c r="AF37" i="1"/>
  <c r="CT37" i="1" s="1"/>
  <c r="AG37" i="1"/>
  <c r="CU37" i="1" s="1"/>
  <c r="T37" i="1" s="1"/>
  <c r="AH37" i="1"/>
  <c r="CV37" i="1" s="1"/>
  <c r="U37" i="1" s="1"/>
  <c r="AI37" i="1"/>
  <c r="AJ37" i="1"/>
  <c r="CW37" i="1"/>
  <c r="V37" i="1" s="1"/>
  <c r="CX37" i="1"/>
  <c r="W37" i="1" s="1"/>
  <c r="GL37" i="1"/>
  <c r="GN37" i="1"/>
  <c r="GO37" i="1"/>
  <c r="GV37" i="1"/>
  <c r="HC37" i="1"/>
  <c r="GX37" i="1" s="1"/>
  <c r="C38" i="1"/>
  <c r="D38" i="1"/>
  <c r="S38" i="1"/>
  <c r="T38" i="1"/>
  <c r="U38" i="1"/>
  <c r="V38" i="1"/>
  <c r="AC38" i="1"/>
  <c r="CQ38" i="1" s="1"/>
  <c r="P38" i="1" s="1"/>
  <c r="AE38" i="1"/>
  <c r="AF38" i="1"/>
  <c r="CT38" i="1" s="1"/>
  <c r="AG38" i="1"/>
  <c r="CU38" i="1" s="1"/>
  <c r="AH38" i="1"/>
  <c r="CV38" i="1" s="1"/>
  <c r="AI38" i="1"/>
  <c r="AJ38" i="1"/>
  <c r="CW38" i="1"/>
  <c r="CX38" i="1"/>
  <c r="W38" i="1" s="1"/>
  <c r="GL38" i="1"/>
  <c r="GN38" i="1"/>
  <c r="GO38" i="1"/>
  <c r="GV38" i="1"/>
  <c r="HC38" i="1"/>
  <c r="GX38" i="1" s="1"/>
  <c r="C39" i="1"/>
  <c r="D39" i="1"/>
  <c r="AC39" i="1"/>
  <c r="CQ39" i="1" s="1"/>
  <c r="P39" i="1" s="1"/>
  <c r="AE39" i="1"/>
  <c r="AD39" i="1" s="1"/>
  <c r="AF39" i="1"/>
  <c r="AG39" i="1"/>
  <c r="CU39" i="1" s="1"/>
  <c r="T39" i="1" s="1"/>
  <c r="AH39" i="1"/>
  <c r="CV39" i="1" s="1"/>
  <c r="U39" i="1" s="1"/>
  <c r="AI39" i="1"/>
  <c r="CW39" i="1" s="1"/>
  <c r="V39" i="1" s="1"/>
  <c r="AJ39" i="1"/>
  <c r="CR39" i="1"/>
  <c r="Q39" i="1" s="1"/>
  <c r="CS39" i="1"/>
  <c r="R39" i="1" s="1"/>
  <c r="GK39" i="1" s="1"/>
  <c r="CT39" i="1"/>
  <c r="S39" i="1" s="1"/>
  <c r="CX39" i="1"/>
  <c r="W39" i="1" s="1"/>
  <c r="GL39" i="1"/>
  <c r="GN39" i="1"/>
  <c r="GO39" i="1"/>
  <c r="GV39" i="1"/>
  <c r="HC39" i="1"/>
  <c r="GX39" i="1" s="1"/>
  <c r="C40" i="1"/>
  <c r="D40" i="1"/>
  <c r="AC40" i="1"/>
  <c r="AE40" i="1"/>
  <c r="AD40" i="1" s="1"/>
  <c r="AB40" i="1" s="1"/>
  <c r="AF40" i="1"/>
  <c r="AG40" i="1"/>
  <c r="AH40" i="1"/>
  <c r="CV40" i="1" s="1"/>
  <c r="U40" i="1" s="1"/>
  <c r="AI40" i="1"/>
  <c r="CW40" i="1" s="1"/>
  <c r="V40" i="1" s="1"/>
  <c r="AJ40" i="1"/>
  <c r="CX40" i="1" s="1"/>
  <c r="W40" i="1" s="1"/>
  <c r="CQ40" i="1"/>
  <c r="P40" i="1" s="1"/>
  <c r="CP40" i="1" s="1"/>
  <c r="O40" i="1" s="1"/>
  <c r="CR40" i="1"/>
  <c r="Q40" i="1" s="1"/>
  <c r="CS40" i="1"/>
  <c r="R40" i="1" s="1"/>
  <c r="GK40" i="1" s="1"/>
  <c r="CT40" i="1"/>
  <c r="S40" i="1" s="1"/>
  <c r="CU40" i="1"/>
  <c r="T40" i="1" s="1"/>
  <c r="GL40" i="1"/>
  <c r="GN40" i="1"/>
  <c r="GO40" i="1"/>
  <c r="GV40" i="1"/>
  <c r="HC40" i="1"/>
  <c r="GX40" i="1" s="1"/>
  <c r="C41" i="1"/>
  <c r="D41" i="1"/>
  <c r="S41" i="1"/>
  <c r="T41" i="1"/>
  <c r="AC41" i="1"/>
  <c r="CQ41" i="1" s="1"/>
  <c r="P41" i="1" s="1"/>
  <c r="AD41" i="1"/>
  <c r="AE41" i="1"/>
  <c r="AF41" i="1"/>
  <c r="AG41" i="1"/>
  <c r="AH41" i="1"/>
  <c r="AI41" i="1"/>
  <c r="AJ41" i="1"/>
  <c r="CT41" i="1"/>
  <c r="CU41" i="1"/>
  <c r="CV41" i="1"/>
  <c r="U41" i="1" s="1"/>
  <c r="CW41" i="1"/>
  <c r="V41" i="1" s="1"/>
  <c r="CX41" i="1"/>
  <c r="W41" i="1" s="1"/>
  <c r="GL41" i="1"/>
  <c r="GN41" i="1"/>
  <c r="GO41" i="1"/>
  <c r="GV41" i="1"/>
  <c r="HC41" i="1"/>
  <c r="GX41" i="1" s="1"/>
  <c r="C42" i="1"/>
  <c r="D42" i="1"/>
  <c r="AC42" i="1"/>
  <c r="AE42" i="1"/>
  <c r="AD42" i="1" s="1"/>
  <c r="AF42" i="1"/>
  <c r="AG42" i="1"/>
  <c r="CU42" i="1" s="1"/>
  <c r="T42" i="1" s="1"/>
  <c r="AH42" i="1"/>
  <c r="CV42" i="1" s="1"/>
  <c r="U42" i="1" s="1"/>
  <c r="AI42" i="1"/>
  <c r="CW42" i="1" s="1"/>
  <c r="V42" i="1" s="1"/>
  <c r="AJ42" i="1"/>
  <c r="CX42" i="1" s="1"/>
  <c r="W42" i="1" s="1"/>
  <c r="CP42" i="1"/>
  <c r="O42" i="1" s="1"/>
  <c r="GM42" i="1" s="1"/>
  <c r="GP42" i="1" s="1"/>
  <c r="CQ42" i="1"/>
  <c r="P42" i="1" s="1"/>
  <c r="CR42" i="1"/>
  <c r="Q42" i="1" s="1"/>
  <c r="CS42" i="1"/>
  <c r="R42" i="1" s="1"/>
  <c r="GK42" i="1" s="1"/>
  <c r="CT42" i="1"/>
  <c r="S42" i="1" s="1"/>
  <c r="CY42" i="1" s="1"/>
  <c r="X42" i="1" s="1"/>
  <c r="CZ42" i="1"/>
  <c r="Y42" i="1" s="1"/>
  <c r="GL42" i="1"/>
  <c r="GN42" i="1"/>
  <c r="GO42" i="1"/>
  <c r="GV42" i="1"/>
  <c r="HC42" i="1"/>
  <c r="GX42" i="1" s="1"/>
  <c r="B44" i="1"/>
  <c r="C44" i="1"/>
  <c r="D44" i="1"/>
  <c r="D30" i="1" s="1"/>
  <c r="F44" i="1"/>
  <c r="F30" i="1" s="1"/>
  <c r="G44" i="1"/>
  <c r="G30" i="1" s="1"/>
  <c r="BC44" i="1"/>
  <c r="BD44" i="1"/>
  <c r="F69" i="1" s="1"/>
  <c r="BX44" i="1"/>
  <c r="BY44" i="1"/>
  <c r="CK44" i="1"/>
  <c r="CL44" i="1"/>
  <c r="CM44" i="1"/>
  <c r="F60" i="1"/>
  <c r="D74" i="1"/>
  <c r="E76" i="1"/>
  <c r="F76" i="1"/>
  <c r="Z76" i="1"/>
  <c r="AA76" i="1"/>
  <c r="AM76" i="1"/>
  <c r="AN76" i="1"/>
  <c r="AO76" i="1"/>
  <c r="AP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W76" i="1"/>
  <c r="BX76" i="1"/>
  <c r="BY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EG76" i="1"/>
  <c r="EH76" i="1"/>
  <c r="EI76" i="1"/>
  <c r="EJ76" i="1"/>
  <c r="EK76" i="1"/>
  <c r="EL76" i="1"/>
  <c r="EM76" i="1"/>
  <c r="EN76" i="1"/>
  <c r="EO76" i="1"/>
  <c r="EP76" i="1"/>
  <c r="EQ76" i="1"/>
  <c r="ER76" i="1"/>
  <c r="ES76" i="1"/>
  <c r="ET76" i="1"/>
  <c r="EU76" i="1"/>
  <c r="EV76" i="1"/>
  <c r="EW76" i="1"/>
  <c r="EX76" i="1"/>
  <c r="EY76" i="1"/>
  <c r="EZ76" i="1"/>
  <c r="FA76" i="1"/>
  <c r="FB76" i="1"/>
  <c r="FC76" i="1"/>
  <c r="FD76" i="1"/>
  <c r="FE76" i="1"/>
  <c r="FF76" i="1"/>
  <c r="FG76" i="1"/>
  <c r="FH76" i="1"/>
  <c r="FI76" i="1"/>
  <c r="FJ76" i="1"/>
  <c r="FK76" i="1"/>
  <c r="FL76" i="1"/>
  <c r="FM76" i="1"/>
  <c r="FN76" i="1"/>
  <c r="FO76" i="1"/>
  <c r="FP76" i="1"/>
  <c r="FQ76" i="1"/>
  <c r="FR76" i="1"/>
  <c r="FS76" i="1"/>
  <c r="FT76" i="1"/>
  <c r="FU76" i="1"/>
  <c r="FV76" i="1"/>
  <c r="FW76" i="1"/>
  <c r="FX76" i="1"/>
  <c r="FY76" i="1"/>
  <c r="FZ76" i="1"/>
  <c r="GA76" i="1"/>
  <c r="GB76" i="1"/>
  <c r="GC76" i="1"/>
  <c r="GD76" i="1"/>
  <c r="GE76" i="1"/>
  <c r="GF76" i="1"/>
  <c r="GG76" i="1"/>
  <c r="GH76" i="1"/>
  <c r="GI76" i="1"/>
  <c r="GJ76" i="1"/>
  <c r="GK76" i="1"/>
  <c r="GL76" i="1"/>
  <c r="GM76" i="1"/>
  <c r="GN76" i="1"/>
  <c r="GO76" i="1"/>
  <c r="GP76" i="1"/>
  <c r="GQ76" i="1"/>
  <c r="GR76" i="1"/>
  <c r="GS76" i="1"/>
  <c r="GT76" i="1"/>
  <c r="GU76" i="1"/>
  <c r="GV76" i="1"/>
  <c r="GW76" i="1"/>
  <c r="GX76" i="1"/>
  <c r="C78" i="1"/>
  <c r="D78" i="1"/>
  <c r="Q78" i="1"/>
  <c r="R78" i="1"/>
  <c r="U78" i="1"/>
  <c r="V78" i="1"/>
  <c r="W78" i="1"/>
  <c r="X78" i="1"/>
  <c r="Y78" i="1"/>
  <c r="AC78" i="1"/>
  <c r="AB78" i="1" s="1"/>
  <c r="AD78" i="1"/>
  <c r="AE78" i="1"/>
  <c r="AF78" i="1"/>
  <c r="CT78" i="1" s="1"/>
  <c r="S78" i="1" s="1"/>
  <c r="AG78" i="1"/>
  <c r="CU78" i="1" s="1"/>
  <c r="T78" i="1" s="1"/>
  <c r="AH78" i="1"/>
  <c r="CV78" i="1" s="1"/>
  <c r="AI78" i="1"/>
  <c r="CW78" i="1" s="1"/>
  <c r="AJ78" i="1"/>
  <c r="CQ78" i="1"/>
  <c r="P78" i="1" s="1"/>
  <c r="CP78" i="1" s="1"/>
  <c r="O78" i="1" s="1"/>
  <c r="CR78" i="1"/>
  <c r="CS78" i="1"/>
  <c r="CX78" i="1"/>
  <c r="CY78" i="1"/>
  <c r="CZ78" i="1"/>
  <c r="GL78" i="1"/>
  <c r="GN78" i="1"/>
  <c r="GO78" i="1"/>
  <c r="GV78" i="1"/>
  <c r="HC78" i="1" s="1"/>
  <c r="GX78" i="1" s="1"/>
  <c r="C79" i="1"/>
  <c r="D79" i="1"/>
  <c r="S79" i="1"/>
  <c r="T79" i="1"/>
  <c r="AG86" i="1" s="1"/>
  <c r="U79" i="1"/>
  <c r="AC79" i="1"/>
  <c r="CQ79" i="1" s="1"/>
  <c r="P79" i="1" s="1"/>
  <c r="AE79" i="1"/>
  <c r="AF79" i="1"/>
  <c r="AG79" i="1"/>
  <c r="AH79" i="1"/>
  <c r="CV79" i="1" s="1"/>
  <c r="AI79" i="1"/>
  <c r="CW79" i="1" s="1"/>
  <c r="V79" i="1" s="1"/>
  <c r="AJ79" i="1"/>
  <c r="CX79" i="1" s="1"/>
  <c r="W79" i="1" s="1"/>
  <c r="CT79" i="1"/>
  <c r="CU79" i="1"/>
  <c r="GL79" i="1"/>
  <c r="GN79" i="1"/>
  <c r="GO79" i="1"/>
  <c r="GV79" i="1"/>
  <c r="HC79" i="1"/>
  <c r="GX79" i="1" s="1"/>
  <c r="CJ86" i="1" s="1"/>
  <c r="C80" i="1"/>
  <c r="D80" i="1"/>
  <c r="P80" i="1"/>
  <c r="Q80" i="1"/>
  <c r="AC80" i="1"/>
  <c r="AE80" i="1"/>
  <c r="AD80" i="1" s="1"/>
  <c r="AF80" i="1"/>
  <c r="AG80" i="1"/>
  <c r="AH80" i="1"/>
  <c r="AI80" i="1"/>
  <c r="AJ80" i="1"/>
  <c r="CQ80" i="1"/>
  <c r="CR80" i="1"/>
  <c r="CS80" i="1"/>
  <c r="R80" i="1" s="1"/>
  <c r="GK80" i="1" s="1"/>
  <c r="CT80" i="1"/>
  <c r="S80" i="1" s="1"/>
  <c r="CZ80" i="1" s="1"/>
  <c r="Y80" i="1" s="1"/>
  <c r="CU80" i="1"/>
  <c r="T80" i="1" s="1"/>
  <c r="CV80" i="1"/>
  <c r="U80" i="1" s="1"/>
  <c r="CW80" i="1"/>
  <c r="V80" i="1" s="1"/>
  <c r="CX80" i="1"/>
  <c r="W80" i="1" s="1"/>
  <c r="CY80" i="1"/>
  <c r="X80" i="1" s="1"/>
  <c r="GL80" i="1"/>
  <c r="GN80" i="1"/>
  <c r="GO80" i="1"/>
  <c r="GV80" i="1"/>
  <c r="HC80" i="1" s="1"/>
  <c r="GX80" i="1"/>
  <c r="C81" i="1"/>
  <c r="D81" i="1"/>
  <c r="P81" i="1"/>
  <c r="Q81" i="1"/>
  <c r="R81" i="1"/>
  <c r="S81" i="1"/>
  <c r="T81" i="1"/>
  <c r="U81" i="1"/>
  <c r="V81" i="1"/>
  <c r="W81" i="1"/>
  <c r="X81" i="1"/>
  <c r="Y81" i="1"/>
  <c r="AB81" i="1"/>
  <c r="AC81" i="1"/>
  <c r="CQ81" i="1" s="1"/>
  <c r="AD81" i="1"/>
  <c r="AE81" i="1"/>
  <c r="AF81" i="1"/>
  <c r="AG81" i="1"/>
  <c r="AH81" i="1"/>
  <c r="AI81" i="1"/>
  <c r="AJ81" i="1"/>
  <c r="CR81" i="1"/>
  <c r="CS81" i="1"/>
  <c r="CT81" i="1"/>
  <c r="CU81" i="1"/>
  <c r="CV81" i="1"/>
  <c r="CW81" i="1"/>
  <c r="CX81" i="1"/>
  <c r="CY81" i="1"/>
  <c r="CZ81" i="1"/>
  <c r="GK81" i="1"/>
  <c r="GL81" i="1"/>
  <c r="GN81" i="1"/>
  <c r="GO81" i="1"/>
  <c r="GV81" i="1"/>
  <c r="HC81" i="1"/>
  <c r="GX81" i="1" s="1"/>
  <c r="I82" i="1"/>
  <c r="W82" i="1"/>
  <c r="AC82" i="1"/>
  <c r="AE82" i="1"/>
  <c r="AD82" i="1" s="1"/>
  <c r="AF82" i="1"/>
  <c r="AG82" i="1"/>
  <c r="CU82" i="1" s="1"/>
  <c r="T82" i="1" s="1"/>
  <c r="AH82" i="1"/>
  <c r="CV82" i="1" s="1"/>
  <c r="U82" i="1" s="1"/>
  <c r="AI82" i="1"/>
  <c r="CW82" i="1" s="1"/>
  <c r="V82" i="1" s="1"/>
  <c r="AJ82" i="1"/>
  <c r="CQ82" i="1"/>
  <c r="P82" i="1" s="1"/>
  <c r="CT82" i="1"/>
  <c r="S82" i="1" s="1"/>
  <c r="CX82" i="1"/>
  <c r="GL82" i="1"/>
  <c r="GN82" i="1"/>
  <c r="GO82" i="1"/>
  <c r="GV82" i="1"/>
  <c r="HC82" i="1"/>
  <c r="GX82" i="1" s="1"/>
  <c r="C83" i="1"/>
  <c r="D83" i="1"/>
  <c r="T83" i="1"/>
  <c r="V83" i="1"/>
  <c r="AC83" i="1"/>
  <c r="AB83" i="1" s="1"/>
  <c r="AD83" i="1"/>
  <c r="AE83" i="1"/>
  <c r="AF83" i="1"/>
  <c r="CT83" i="1" s="1"/>
  <c r="S83" i="1" s="1"/>
  <c r="AG83" i="1"/>
  <c r="CU83" i="1" s="1"/>
  <c r="AH83" i="1"/>
  <c r="AI83" i="1"/>
  <c r="CW83" i="1" s="1"/>
  <c r="AJ83" i="1"/>
  <c r="CX83" i="1" s="1"/>
  <c r="W83" i="1" s="1"/>
  <c r="CQ83" i="1"/>
  <c r="P83" i="1" s="1"/>
  <c r="CP83" i="1" s="1"/>
  <c r="O83" i="1" s="1"/>
  <c r="GM83" i="1" s="1"/>
  <c r="GP83" i="1" s="1"/>
  <c r="CR83" i="1"/>
  <c r="Q83" i="1" s="1"/>
  <c r="CS83" i="1"/>
  <c r="R83" i="1" s="1"/>
  <c r="GK83" i="1" s="1"/>
  <c r="CV83" i="1"/>
  <c r="U83" i="1" s="1"/>
  <c r="CY83" i="1"/>
  <c r="X83" i="1" s="1"/>
  <c r="CZ83" i="1"/>
  <c r="Y83" i="1" s="1"/>
  <c r="GL83" i="1"/>
  <c r="GN83" i="1"/>
  <c r="GO83" i="1"/>
  <c r="GV83" i="1"/>
  <c r="HC83" i="1"/>
  <c r="GX83" i="1" s="1"/>
  <c r="I84" i="1"/>
  <c r="AC84" i="1"/>
  <c r="AE84" i="1"/>
  <c r="CS84" i="1" s="1"/>
  <c r="R84" i="1" s="1"/>
  <c r="GK84" i="1" s="1"/>
  <c r="AF84" i="1"/>
  <c r="CT84" i="1" s="1"/>
  <c r="S84" i="1" s="1"/>
  <c r="AG84" i="1"/>
  <c r="CU84" i="1" s="1"/>
  <c r="T84" i="1" s="1"/>
  <c r="AH84" i="1"/>
  <c r="CV84" i="1" s="1"/>
  <c r="U84" i="1" s="1"/>
  <c r="AI84" i="1"/>
  <c r="CW84" i="1" s="1"/>
  <c r="V84" i="1" s="1"/>
  <c r="AJ84" i="1"/>
  <c r="CX84" i="1" s="1"/>
  <c r="W84" i="1" s="1"/>
  <c r="CQ84" i="1"/>
  <c r="P84" i="1" s="1"/>
  <c r="GL84" i="1"/>
  <c r="GN84" i="1"/>
  <c r="GO84" i="1"/>
  <c r="GV84" i="1"/>
  <c r="HC84" i="1"/>
  <c r="GX84" i="1" s="1"/>
  <c r="B86" i="1"/>
  <c r="B76" i="1" s="1"/>
  <c r="C86" i="1"/>
  <c r="C76" i="1" s="1"/>
  <c r="D86" i="1"/>
  <c r="D76" i="1" s="1"/>
  <c r="F86" i="1"/>
  <c r="G86" i="1"/>
  <c r="G76" i="1" s="1"/>
  <c r="AH86" i="1"/>
  <c r="AI86" i="1"/>
  <c r="AJ86" i="1"/>
  <c r="AO86" i="1"/>
  <c r="AP86" i="1"/>
  <c r="F95" i="1" s="1"/>
  <c r="BX86" i="1"/>
  <c r="BY86" i="1"/>
  <c r="CK86" i="1"/>
  <c r="CL86" i="1"/>
  <c r="CM86" i="1"/>
  <c r="F90" i="1"/>
  <c r="D116" i="1"/>
  <c r="B118" i="1"/>
  <c r="E118" i="1"/>
  <c r="Z118" i="1"/>
  <c r="AA118" i="1"/>
  <c r="AM118" i="1"/>
  <c r="AN118" i="1"/>
  <c r="BD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BQ118" i="1"/>
  <c r="BR118" i="1"/>
  <c r="BS118" i="1"/>
  <c r="BT118" i="1"/>
  <c r="BU118" i="1"/>
  <c r="BV118" i="1"/>
  <c r="BW118" i="1"/>
  <c r="CK118" i="1"/>
  <c r="CN118" i="1"/>
  <c r="CO118" i="1"/>
  <c r="CP118" i="1"/>
  <c r="CQ118" i="1"/>
  <c r="CR118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DF118" i="1"/>
  <c r="DG118" i="1"/>
  <c r="DH118" i="1"/>
  <c r="DI118" i="1"/>
  <c r="DJ118" i="1"/>
  <c r="DK118" i="1"/>
  <c r="DL118" i="1"/>
  <c r="DM118" i="1"/>
  <c r="DN118" i="1"/>
  <c r="DO118" i="1"/>
  <c r="DP118" i="1"/>
  <c r="DQ118" i="1"/>
  <c r="DR118" i="1"/>
  <c r="DS118" i="1"/>
  <c r="DT118" i="1"/>
  <c r="DU118" i="1"/>
  <c r="DV118" i="1"/>
  <c r="DW118" i="1"/>
  <c r="DX118" i="1"/>
  <c r="DY118" i="1"/>
  <c r="DZ118" i="1"/>
  <c r="EA118" i="1"/>
  <c r="EB118" i="1"/>
  <c r="EC118" i="1"/>
  <c r="ED118" i="1"/>
  <c r="EE118" i="1"/>
  <c r="EF118" i="1"/>
  <c r="EG118" i="1"/>
  <c r="EH118" i="1"/>
  <c r="EI118" i="1"/>
  <c r="EJ118" i="1"/>
  <c r="EK118" i="1"/>
  <c r="EL118" i="1"/>
  <c r="EM118" i="1"/>
  <c r="EN118" i="1"/>
  <c r="EO118" i="1"/>
  <c r="EP118" i="1"/>
  <c r="EQ118" i="1"/>
  <c r="ER118" i="1"/>
  <c r="ES118" i="1"/>
  <c r="ET118" i="1"/>
  <c r="EU118" i="1"/>
  <c r="EV118" i="1"/>
  <c r="EW118" i="1"/>
  <c r="EX118" i="1"/>
  <c r="EY118" i="1"/>
  <c r="EZ118" i="1"/>
  <c r="FA118" i="1"/>
  <c r="FB118" i="1"/>
  <c r="FC118" i="1"/>
  <c r="FD118" i="1"/>
  <c r="FE118" i="1"/>
  <c r="FF118" i="1"/>
  <c r="FG118" i="1"/>
  <c r="FH118" i="1"/>
  <c r="FI118" i="1"/>
  <c r="FJ118" i="1"/>
  <c r="FK118" i="1"/>
  <c r="FL118" i="1"/>
  <c r="FM118" i="1"/>
  <c r="FN118" i="1"/>
  <c r="FO118" i="1"/>
  <c r="FP118" i="1"/>
  <c r="FQ118" i="1"/>
  <c r="FR118" i="1"/>
  <c r="FS118" i="1"/>
  <c r="FT118" i="1"/>
  <c r="FU118" i="1"/>
  <c r="FV118" i="1"/>
  <c r="FW118" i="1"/>
  <c r="FX118" i="1"/>
  <c r="FY118" i="1"/>
  <c r="FZ118" i="1"/>
  <c r="GA118" i="1"/>
  <c r="GB118" i="1"/>
  <c r="GC118" i="1"/>
  <c r="GD118" i="1"/>
  <c r="GE118" i="1"/>
  <c r="GF118" i="1"/>
  <c r="GG118" i="1"/>
  <c r="GH118" i="1"/>
  <c r="GI118" i="1"/>
  <c r="GJ118" i="1"/>
  <c r="GK118" i="1"/>
  <c r="GL118" i="1"/>
  <c r="GM118" i="1"/>
  <c r="GN118" i="1"/>
  <c r="GO118" i="1"/>
  <c r="GP118" i="1"/>
  <c r="GQ118" i="1"/>
  <c r="GR118" i="1"/>
  <c r="GS118" i="1"/>
  <c r="GT118" i="1"/>
  <c r="GU118" i="1"/>
  <c r="GV118" i="1"/>
  <c r="GW118" i="1"/>
  <c r="GX118" i="1"/>
  <c r="C120" i="1"/>
  <c r="D120" i="1"/>
  <c r="AC120" i="1"/>
  <c r="AB120" i="1" s="1"/>
  <c r="AD120" i="1"/>
  <c r="AE120" i="1"/>
  <c r="AF120" i="1"/>
  <c r="AG120" i="1"/>
  <c r="AH120" i="1"/>
  <c r="CV120" i="1" s="1"/>
  <c r="U120" i="1" s="1"/>
  <c r="AI120" i="1"/>
  <c r="CW120" i="1" s="1"/>
  <c r="V120" i="1" s="1"/>
  <c r="AJ120" i="1"/>
  <c r="CX120" i="1" s="1"/>
  <c r="W120" i="1" s="1"/>
  <c r="CQ120" i="1"/>
  <c r="P120" i="1" s="1"/>
  <c r="CR120" i="1"/>
  <c r="Q120" i="1" s="1"/>
  <c r="CS120" i="1"/>
  <c r="R120" i="1" s="1"/>
  <c r="CT120" i="1"/>
  <c r="S120" i="1" s="1"/>
  <c r="CU120" i="1"/>
  <c r="T120" i="1" s="1"/>
  <c r="GL120" i="1"/>
  <c r="BZ125" i="1" s="1"/>
  <c r="GN120" i="1"/>
  <c r="GO120" i="1"/>
  <c r="GV120" i="1"/>
  <c r="HC120" i="1" s="1"/>
  <c r="GX120" i="1"/>
  <c r="C121" i="1"/>
  <c r="D121" i="1"/>
  <c r="I121" i="1"/>
  <c r="CU27" i="3" s="1"/>
  <c r="K121" i="1"/>
  <c r="P121" i="1"/>
  <c r="Q121" i="1"/>
  <c r="R121" i="1"/>
  <c r="GK121" i="1" s="1"/>
  <c r="S121" i="1"/>
  <c r="CZ121" i="1" s="1"/>
  <c r="Y121" i="1" s="1"/>
  <c r="T121" i="1"/>
  <c r="U121" i="1"/>
  <c r="V121" i="1"/>
  <c r="AC121" i="1"/>
  <c r="AB121" i="1" s="1"/>
  <c r="AD121" i="1"/>
  <c r="AE121" i="1"/>
  <c r="AF121" i="1"/>
  <c r="AG121" i="1"/>
  <c r="AH121" i="1"/>
  <c r="AI121" i="1"/>
  <c r="AJ121" i="1"/>
  <c r="CQ121" i="1"/>
  <c r="CR121" i="1"/>
  <c r="CS121" i="1"/>
  <c r="CT121" i="1"/>
  <c r="CU121" i="1"/>
  <c r="CV121" i="1"/>
  <c r="CW121" i="1"/>
  <c r="CX121" i="1"/>
  <c r="W121" i="1" s="1"/>
  <c r="GL121" i="1"/>
  <c r="GN121" i="1"/>
  <c r="GO121" i="1"/>
  <c r="GV121" i="1"/>
  <c r="HC121" i="1"/>
  <c r="C122" i="1"/>
  <c r="D122" i="1"/>
  <c r="S122" i="1"/>
  <c r="CY122" i="1" s="1"/>
  <c r="X122" i="1" s="1"/>
  <c r="W122" i="1"/>
  <c r="AC122" i="1"/>
  <c r="AE122" i="1"/>
  <c r="AF122" i="1"/>
  <c r="CT122" i="1" s="1"/>
  <c r="AG122" i="1"/>
  <c r="CU122" i="1" s="1"/>
  <c r="T122" i="1" s="1"/>
  <c r="AH122" i="1"/>
  <c r="CV122" i="1" s="1"/>
  <c r="U122" i="1" s="1"/>
  <c r="AI122" i="1"/>
  <c r="CW122" i="1" s="1"/>
  <c r="V122" i="1" s="1"/>
  <c r="AJ122" i="1"/>
  <c r="CX122" i="1"/>
  <c r="GL122" i="1"/>
  <c r="GN122" i="1"/>
  <c r="GO122" i="1"/>
  <c r="GV122" i="1"/>
  <c r="HC122" i="1" s="1"/>
  <c r="GX122" i="1" s="1"/>
  <c r="I123" i="1"/>
  <c r="R123" i="1"/>
  <c r="GK123" i="1" s="1"/>
  <c r="AC123" i="1"/>
  <c r="AD123" i="1"/>
  <c r="AE123" i="1"/>
  <c r="AF123" i="1"/>
  <c r="CT123" i="1" s="1"/>
  <c r="S123" i="1" s="1"/>
  <c r="AG123" i="1"/>
  <c r="AH123" i="1"/>
  <c r="AI123" i="1"/>
  <c r="AJ123" i="1"/>
  <c r="CX123" i="1" s="1"/>
  <c r="W123" i="1" s="1"/>
  <c r="CQ123" i="1"/>
  <c r="P123" i="1" s="1"/>
  <c r="CP123" i="1" s="1"/>
  <c r="O123" i="1" s="1"/>
  <c r="CR123" i="1"/>
  <c r="Q123" i="1" s="1"/>
  <c r="CS123" i="1"/>
  <c r="CU123" i="1"/>
  <c r="T123" i="1" s="1"/>
  <c r="CV123" i="1"/>
  <c r="U123" i="1" s="1"/>
  <c r="CW123" i="1"/>
  <c r="V123" i="1" s="1"/>
  <c r="GL123" i="1"/>
  <c r="GN123" i="1"/>
  <c r="GO123" i="1"/>
  <c r="GV123" i="1"/>
  <c r="HC123" i="1"/>
  <c r="GX123" i="1" s="1"/>
  <c r="B125" i="1"/>
  <c r="C125" i="1"/>
  <c r="C118" i="1" s="1"/>
  <c r="D125" i="1"/>
  <c r="D118" i="1" s="1"/>
  <c r="F125" i="1"/>
  <c r="F118" i="1" s="1"/>
  <c r="G125" i="1"/>
  <c r="A163" i="7" s="1"/>
  <c r="BX125" i="1"/>
  <c r="BY125" i="1"/>
  <c r="CK125" i="1"/>
  <c r="BB125" i="1" s="1"/>
  <c r="CL125" i="1"/>
  <c r="BC125" i="1" s="1"/>
  <c r="CM125" i="1"/>
  <c r="BD125" i="1" s="1"/>
  <c r="F150" i="1" s="1"/>
  <c r="B155" i="1"/>
  <c r="B26" i="1" s="1"/>
  <c r="C155" i="1"/>
  <c r="C26" i="1" s="1"/>
  <c r="D155" i="1"/>
  <c r="D26" i="1" s="1"/>
  <c r="F155" i="1"/>
  <c r="F26" i="1" s="1"/>
  <c r="G155" i="1"/>
  <c r="G26" i="1" s="1"/>
  <c r="B185" i="1"/>
  <c r="B22" i="1" s="1"/>
  <c r="C185" i="1"/>
  <c r="C22" i="1" s="1"/>
  <c r="D185" i="1"/>
  <c r="D22" i="1" s="1"/>
  <c r="F185" i="1"/>
  <c r="F22" i="1" s="1"/>
  <c r="G185" i="1"/>
  <c r="G22" i="1" s="1"/>
  <c r="B217" i="1"/>
  <c r="C217" i="1"/>
  <c r="C18" i="1" s="1"/>
  <c r="D217" i="1"/>
  <c r="D18" i="1" s="1"/>
  <c r="F217" i="1"/>
  <c r="F18" i="1" s="1"/>
  <c r="G217" i="1"/>
  <c r="G18" i="1" s="1"/>
  <c r="F12" i="6"/>
  <c r="G12" i="6"/>
  <c r="G118" i="1" l="1"/>
  <c r="A130" i="7"/>
  <c r="A106" i="7"/>
  <c r="AF106" i="7"/>
  <c r="K104" i="7"/>
  <c r="P104" i="7"/>
  <c r="P90" i="7"/>
  <c r="K90" i="7"/>
  <c r="P150" i="7"/>
  <c r="K150" i="7"/>
  <c r="P161" i="7"/>
  <c r="K161" i="7"/>
  <c r="I121" i="7"/>
  <c r="I128" i="7"/>
  <c r="K48" i="7"/>
  <c r="P48" i="7"/>
  <c r="K42" i="7"/>
  <c r="P42" i="7"/>
  <c r="K67" i="7"/>
  <c r="P67" i="7"/>
  <c r="K115" i="7"/>
  <c r="P115" i="7"/>
  <c r="K61" i="7"/>
  <c r="P61" i="7"/>
  <c r="I74" i="7"/>
  <c r="K99" i="7"/>
  <c r="P99" i="7"/>
  <c r="I84" i="7"/>
  <c r="K55" i="7"/>
  <c r="P55" i="7"/>
  <c r="K140" i="7"/>
  <c r="P140" i="7"/>
  <c r="CJ76" i="1"/>
  <c r="BA86" i="1"/>
  <c r="AT44" i="1"/>
  <c r="CC30" i="1"/>
  <c r="AS44" i="1"/>
  <c r="CB30" i="1"/>
  <c r="GM123" i="1"/>
  <c r="GP123" i="1" s="1"/>
  <c r="AQ44" i="1"/>
  <c r="BZ30" i="1"/>
  <c r="CZ120" i="1"/>
  <c r="Y120" i="1" s="1"/>
  <c r="AL125" i="1" s="1"/>
  <c r="CY120" i="1"/>
  <c r="X120" i="1" s="1"/>
  <c r="AF125" i="1"/>
  <c r="CY79" i="1"/>
  <c r="X79" i="1" s="1"/>
  <c r="CZ79" i="1"/>
  <c r="Y79" i="1" s="1"/>
  <c r="AL86" i="1" s="1"/>
  <c r="AF86" i="1"/>
  <c r="CY37" i="1"/>
  <c r="X37" i="1" s="1"/>
  <c r="CZ37" i="1"/>
  <c r="Y37" i="1" s="1"/>
  <c r="CJ44" i="1"/>
  <c r="DH15" i="3"/>
  <c r="DI15" i="3"/>
  <c r="DF15" i="3"/>
  <c r="DG15" i="3"/>
  <c r="DJ15" i="3" s="1"/>
  <c r="GK120" i="1"/>
  <c r="CP80" i="1"/>
  <c r="O80" i="1" s="1"/>
  <c r="GM80" i="1" s="1"/>
  <c r="GP80" i="1" s="1"/>
  <c r="AC125" i="1"/>
  <c r="DF3" i="3"/>
  <c r="DG3" i="3"/>
  <c r="DJ3" i="3" s="1"/>
  <c r="DH3" i="3"/>
  <c r="DI3" i="3"/>
  <c r="CP120" i="1"/>
  <c r="O120" i="1" s="1"/>
  <c r="CY33" i="1"/>
  <c r="X33" i="1" s="1"/>
  <c r="CZ33" i="1"/>
  <c r="Y33" i="1" s="1"/>
  <c r="CZ84" i="1"/>
  <c r="Y84" i="1" s="1"/>
  <c r="CY84" i="1"/>
  <c r="X84" i="1" s="1"/>
  <c r="AB82" i="1"/>
  <c r="CZ38" i="1"/>
  <c r="Y38" i="1" s="1"/>
  <c r="CY38" i="1"/>
  <c r="X38" i="1" s="1"/>
  <c r="W86" i="1"/>
  <c r="AJ76" i="1"/>
  <c r="AG44" i="1"/>
  <c r="DF28" i="3"/>
  <c r="DI28" i="3"/>
  <c r="DG28" i="3"/>
  <c r="DJ28" i="3" s="1"/>
  <c r="DH28" i="3"/>
  <c r="V86" i="1"/>
  <c r="AI76" i="1"/>
  <c r="AH76" i="1"/>
  <c r="U86" i="1"/>
  <c r="DF19" i="3"/>
  <c r="DH19" i="3"/>
  <c r="DI19" i="3"/>
  <c r="DJ19" i="3" s="1"/>
  <c r="AC44" i="1"/>
  <c r="DG21" i="3"/>
  <c r="DH21" i="3"/>
  <c r="DI21" i="3"/>
  <c r="DF21" i="3"/>
  <c r="DJ21" i="3" s="1"/>
  <c r="DG23" i="3"/>
  <c r="DH23" i="3"/>
  <c r="DI23" i="3"/>
  <c r="DF23" i="3"/>
  <c r="DJ23" i="3" s="1"/>
  <c r="AB86" i="1"/>
  <c r="GM78" i="1"/>
  <c r="DF25" i="3"/>
  <c r="DG25" i="3"/>
  <c r="DH25" i="3"/>
  <c r="DI25" i="3"/>
  <c r="DJ25" i="3" s="1"/>
  <c r="F141" i="1"/>
  <c r="BC118" i="1"/>
  <c r="CZ122" i="1"/>
  <c r="Y122" i="1" s="1"/>
  <c r="CY36" i="1"/>
  <c r="X36" i="1" s="1"/>
  <c r="CZ36" i="1"/>
  <c r="Y36" i="1" s="1"/>
  <c r="CP35" i="1"/>
  <c r="O35" i="1" s="1"/>
  <c r="GM35" i="1" s="1"/>
  <c r="GP35" i="1" s="1"/>
  <c r="CR36" i="1"/>
  <c r="Q36" i="1" s="1"/>
  <c r="AD44" i="1" s="1"/>
  <c r="CS36" i="1"/>
  <c r="R36" i="1" s="1"/>
  <c r="GK36" i="1" s="1"/>
  <c r="CM76" i="1"/>
  <c r="BD86" i="1"/>
  <c r="AD36" i="1"/>
  <c r="CL76" i="1"/>
  <c r="BC86" i="1"/>
  <c r="CP79" i="1"/>
  <c r="O79" i="1" s="1"/>
  <c r="GM79" i="1" s="1"/>
  <c r="GP79" i="1" s="1"/>
  <c r="GM40" i="1"/>
  <c r="GP40" i="1" s="1"/>
  <c r="AQ125" i="1"/>
  <c r="BZ118" i="1"/>
  <c r="CM118" i="1"/>
  <c r="CZ123" i="1"/>
  <c r="Y123" i="1" s="1"/>
  <c r="CY123" i="1"/>
  <c r="X123" i="1" s="1"/>
  <c r="BB118" i="1"/>
  <c r="F138" i="1"/>
  <c r="CK76" i="1"/>
  <c r="BB86" i="1"/>
  <c r="AG125" i="1"/>
  <c r="CL118" i="1"/>
  <c r="T86" i="1"/>
  <c r="AG76" i="1"/>
  <c r="CB125" i="1"/>
  <c r="CI44" i="1"/>
  <c r="AP44" i="1"/>
  <c r="BY30" i="1"/>
  <c r="CY40" i="1"/>
  <c r="X40" i="1" s="1"/>
  <c r="CZ40" i="1"/>
  <c r="Y40" i="1" s="1"/>
  <c r="CI125" i="1"/>
  <c r="BY118" i="1"/>
  <c r="AI125" i="1"/>
  <c r="CG44" i="1"/>
  <c r="AO44" i="1"/>
  <c r="BX30" i="1"/>
  <c r="BX118" i="1"/>
  <c r="CG125" i="1"/>
  <c r="AH125" i="1"/>
  <c r="CB86" i="1"/>
  <c r="CY32" i="1"/>
  <c r="X32" i="1" s="1"/>
  <c r="CZ32" i="1"/>
  <c r="Y32" i="1" s="1"/>
  <c r="DF27" i="3"/>
  <c r="DG27" i="3"/>
  <c r="DI27" i="3"/>
  <c r="DJ27" i="3" s="1"/>
  <c r="DH27" i="3"/>
  <c r="CZ82" i="1"/>
  <c r="Y82" i="1" s="1"/>
  <c r="CY82" i="1"/>
  <c r="X82" i="1" s="1"/>
  <c r="DF14" i="3"/>
  <c r="DH14" i="3"/>
  <c r="DG14" i="3"/>
  <c r="DJ14" i="3" s="1"/>
  <c r="DI14" i="3"/>
  <c r="DF6" i="3"/>
  <c r="DG6" i="3"/>
  <c r="CP121" i="1"/>
  <c r="O121" i="1" s="1"/>
  <c r="GM121" i="1" s="1"/>
  <c r="GP121" i="1" s="1"/>
  <c r="BZ86" i="1"/>
  <c r="AE86" i="1"/>
  <c r="BD30" i="1"/>
  <c r="GK78" i="1"/>
  <c r="CP32" i="1"/>
  <c r="O32" i="1" s="1"/>
  <c r="CW16" i="3"/>
  <c r="CX16" i="3"/>
  <c r="AB35" i="1"/>
  <c r="CY41" i="1"/>
  <c r="X41" i="1" s="1"/>
  <c r="CZ41" i="1"/>
  <c r="Y41" i="1" s="1"/>
  <c r="CS38" i="1"/>
  <c r="R38" i="1" s="1"/>
  <c r="GK38" i="1" s="1"/>
  <c r="CR38" i="1"/>
  <c r="Q38" i="1" s="1"/>
  <c r="CR79" i="1"/>
  <c r="Q79" i="1" s="1"/>
  <c r="CS79" i="1"/>
  <c r="R79" i="1" s="1"/>
  <c r="GK79" i="1" s="1"/>
  <c r="CP38" i="1"/>
  <c r="O38" i="1" s="1"/>
  <c r="CP33" i="1"/>
  <c r="O33" i="1" s="1"/>
  <c r="GM33" i="1" s="1"/>
  <c r="GP33" i="1" s="1"/>
  <c r="DG26" i="3"/>
  <c r="DH26" i="3"/>
  <c r="AJ125" i="1"/>
  <c r="AH44" i="1"/>
  <c r="DG12" i="3"/>
  <c r="DH12" i="3"/>
  <c r="DI12" i="3"/>
  <c r="DJ12" i="3" s="1"/>
  <c r="DF12" i="3"/>
  <c r="DF10" i="3"/>
  <c r="DG10" i="3"/>
  <c r="DJ10" i="3" s="1"/>
  <c r="DI10" i="3"/>
  <c r="DH10" i="3"/>
  <c r="AD84" i="1"/>
  <c r="CC86" i="1"/>
  <c r="AB84" i="1"/>
  <c r="CY39" i="1"/>
  <c r="X39" i="1" s="1"/>
  <c r="CZ39" i="1"/>
  <c r="Y39" i="1" s="1"/>
  <c r="CY121" i="1"/>
  <c r="X121" i="1" s="1"/>
  <c r="CP82" i="1"/>
  <c r="O82" i="1" s="1"/>
  <c r="AD86" i="1"/>
  <c r="AB41" i="1"/>
  <c r="CP36" i="1"/>
  <c r="O36" i="1" s="1"/>
  <c r="GM36" i="1" s="1"/>
  <c r="GP36" i="1" s="1"/>
  <c r="CS122" i="1"/>
  <c r="R122" i="1" s="1"/>
  <c r="GK122" i="1" s="1"/>
  <c r="CR122" i="1"/>
  <c r="Q122" i="1" s="1"/>
  <c r="AD125" i="1" s="1"/>
  <c r="AJ44" i="1"/>
  <c r="AD122" i="1"/>
  <c r="CP81" i="1"/>
  <c r="O81" i="1" s="1"/>
  <c r="GM81" i="1" s="1"/>
  <c r="GP81" i="1" s="1"/>
  <c r="AI44" i="1"/>
  <c r="AB122" i="1"/>
  <c r="CQ122" i="1"/>
  <c r="P122" i="1" s="1"/>
  <c r="CR82" i="1"/>
  <c r="Q82" i="1" s="1"/>
  <c r="CS82" i="1"/>
  <c r="R82" i="1" s="1"/>
  <c r="GK82" i="1" s="1"/>
  <c r="AF44" i="1"/>
  <c r="AC86" i="1"/>
  <c r="DF30" i="3"/>
  <c r="DG30" i="3"/>
  <c r="DJ30" i="3" s="1"/>
  <c r="DH30" i="3"/>
  <c r="CV18" i="3"/>
  <c r="CX18" i="3"/>
  <c r="AD38" i="1"/>
  <c r="DF13" i="3"/>
  <c r="DG13" i="3"/>
  <c r="DH13" i="3"/>
  <c r="AP125" i="1"/>
  <c r="AO125" i="1"/>
  <c r="CR84" i="1"/>
  <c r="Q84" i="1" s="1"/>
  <c r="CP84" i="1" s="1"/>
  <c r="O84" i="1" s="1"/>
  <c r="GM84" i="1" s="1"/>
  <c r="GP84" i="1" s="1"/>
  <c r="AD79" i="1"/>
  <c r="AB79" i="1" s="1"/>
  <c r="AB38" i="1"/>
  <c r="CR37" i="1"/>
  <c r="Q37" i="1" s="1"/>
  <c r="CP37" i="1" s="1"/>
  <c r="O37" i="1" s="1"/>
  <c r="GM37" i="1" s="1"/>
  <c r="GP37" i="1" s="1"/>
  <c r="CS37" i="1"/>
  <c r="R37" i="1" s="1"/>
  <c r="GK37" i="1" s="1"/>
  <c r="AB123" i="1"/>
  <c r="AD35" i="1"/>
  <c r="AB80" i="1"/>
  <c r="AB39" i="1"/>
  <c r="CC125" i="1"/>
  <c r="AD37" i="1"/>
  <c r="AB37" i="1" s="1"/>
  <c r="DF9" i="3"/>
  <c r="DG9" i="3"/>
  <c r="DH9" i="3"/>
  <c r="CK30" i="1"/>
  <c r="BB44" i="1"/>
  <c r="GX121" i="1"/>
  <c r="CJ125" i="1" s="1"/>
  <c r="DF31" i="3"/>
  <c r="DJ31" i="3" s="1"/>
  <c r="DG31" i="3"/>
  <c r="DH31" i="3"/>
  <c r="CP39" i="1"/>
  <c r="O39" i="1" s="1"/>
  <c r="GM39" i="1" s="1"/>
  <c r="GP39" i="1" s="1"/>
  <c r="CR41" i="1"/>
  <c r="Q41" i="1" s="1"/>
  <c r="CP41" i="1" s="1"/>
  <c r="O41" i="1" s="1"/>
  <c r="GM41" i="1" s="1"/>
  <c r="GP41" i="1" s="1"/>
  <c r="CS41" i="1"/>
  <c r="R41" i="1" s="1"/>
  <c r="GK41" i="1" s="1"/>
  <c r="AB42" i="1"/>
  <c r="AB36" i="1"/>
  <c r="AB32" i="1"/>
  <c r="K74" i="7" l="1"/>
  <c r="P74" i="7"/>
  <c r="K128" i="7"/>
  <c r="P128" i="7"/>
  <c r="K121" i="7"/>
  <c r="P121" i="7"/>
  <c r="I130" i="7" s="1"/>
  <c r="I163" i="7"/>
  <c r="P84" i="7"/>
  <c r="I169" i="7" s="1"/>
  <c r="K84" i="7"/>
  <c r="Q125" i="1"/>
  <c r="AD118" i="1"/>
  <c r="AD30" i="1"/>
  <c r="Q44" i="1"/>
  <c r="BA125" i="1"/>
  <c r="CJ118" i="1"/>
  <c r="GP78" i="1"/>
  <c r="AB76" i="1"/>
  <c r="O86" i="1"/>
  <c r="AI118" i="1"/>
  <c r="V125" i="1"/>
  <c r="W76" i="1"/>
  <c r="F110" i="1"/>
  <c r="W44" i="1"/>
  <c r="AJ30" i="1"/>
  <c r="CI118" i="1"/>
  <c r="AZ125" i="1"/>
  <c r="CJ30" i="1"/>
  <c r="BA44" i="1"/>
  <c r="AP118" i="1"/>
  <c r="F134" i="1"/>
  <c r="S86" i="1"/>
  <c r="AF76" i="1"/>
  <c r="Y86" i="1"/>
  <c r="AL76" i="1"/>
  <c r="BB30" i="1"/>
  <c r="BB155" i="1"/>
  <c r="F57" i="1"/>
  <c r="GM82" i="1"/>
  <c r="GP82" i="1" s="1"/>
  <c r="AF118" i="1"/>
  <c r="S125" i="1"/>
  <c r="F107" i="1"/>
  <c r="T76" i="1"/>
  <c r="AL118" i="1"/>
  <c r="Y125" i="1"/>
  <c r="AL44" i="1"/>
  <c r="AE76" i="1"/>
  <c r="R86" i="1"/>
  <c r="AO155" i="1"/>
  <c r="AO30" i="1"/>
  <c r="F48" i="1"/>
  <c r="V44" i="1"/>
  <c r="AI30" i="1"/>
  <c r="BZ76" i="1"/>
  <c r="AQ86" i="1"/>
  <c r="CG86" i="1"/>
  <c r="AX44" i="1"/>
  <c r="CG30" i="1"/>
  <c r="AQ118" i="1"/>
  <c r="F135" i="1"/>
  <c r="AG30" i="1"/>
  <c r="T44" i="1"/>
  <c r="U44" i="1"/>
  <c r="AH30" i="1"/>
  <c r="AO118" i="1"/>
  <c r="F129" i="1"/>
  <c r="AJ118" i="1"/>
  <c r="W125" i="1"/>
  <c r="F102" i="1"/>
  <c r="BC155" i="1"/>
  <c r="BC76" i="1"/>
  <c r="GM38" i="1"/>
  <c r="GP38" i="1" s="1"/>
  <c r="AP155" i="1"/>
  <c r="AP30" i="1"/>
  <c r="F53" i="1"/>
  <c r="BD76" i="1"/>
  <c r="F111" i="1"/>
  <c r="AD76" i="1"/>
  <c r="Q86" i="1"/>
  <c r="CI30" i="1"/>
  <c r="AZ44" i="1"/>
  <c r="AK86" i="1"/>
  <c r="DH18" i="3"/>
  <c r="DI18" i="3"/>
  <c r="DJ18" i="3" s="1"/>
  <c r="DF18" i="3"/>
  <c r="DG18" i="3"/>
  <c r="AS125" i="1"/>
  <c r="CB118" i="1"/>
  <c r="CE44" i="1"/>
  <c r="CF44" i="1"/>
  <c r="CH44" i="1"/>
  <c r="AC30" i="1"/>
  <c r="P44" i="1"/>
  <c r="AK125" i="1"/>
  <c r="GM120" i="1"/>
  <c r="AB125" i="1"/>
  <c r="AG118" i="1"/>
  <c r="T125" i="1"/>
  <c r="AQ30" i="1"/>
  <c r="F54" i="1"/>
  <c r="AQ155" i="1"/>
  <c r="AT125" i="1"/>
  <c r="CC118" i="1"/>
  <c r="AE44" i="1"/>
  <c r="AT86" i="1"/>
  <c r="CC76" i="1"/>
  <c r="F99" i="1"/>
  <c r="BB76" i="1"/>
  <c r="U76" i="1"/>
  <c r="F108" i="1"/>
  <c r="CH86" i="1"/>
  <c r="AC76" i="1"/>
  <c r="CE86" i="1"/>
  <c r="P86" i="1"/>
  <c r="CF86" i="1"/>
  <c r="AK44" i="1"/>
  <c r="CI86" i="1"/>
  <c r="BD155" i="1"/>
  <c r="DF16" i="3"/>
  <c r="DG16" i="3"/>
  <c r="DJ16" i="3" s="1"/>
  <c r="DI16" i="3"/>
  <c r="DH16" i="3"/>
  <c r="AS86" i="1"/>
  <c r="CB76" i="1"/>
  <c r="P125" i="1"/>
  <c r="CH125" i="1"/>
  <c r="CE125" i="1"/>
  <c r="CF125" i="1"/>
  <c r="AC118" i="1"/>
  <c r="AS30" i="1"/>
  <c r="AS155" i="1"/>
  <c r="F61" i="1"/>
  <c r="AF30" i="1"/>
  <c r="S44" i="1"/>
  <c r="AH118" i="1"/>
  <c r="U125" i="1"/>
  <c r="F109" i="1"/>
  <c r="V76" i="1"/>
  <c r="GM32" i="1"/>
  <c r="AB44" i="1"/>
  <c r="CG118" i="1"/>
  <c r="AX125" i="1"/>
  <c r="F62" i="1"/>
  <c r="AT30" i="1"/>
  <c r="AE125" i="1"/>
  <c r="F106" i="1"/>
  <c r="BA76" i="1"/>
  <c r="CP122" i="1"/>
  <c r="O122" i="1" s="1"/>
  <c r="GM122" i="1" s="1"/>
  <c r="GP122" i="1" s="1"/>
  <c r="I166" i="7" l="1"/>
  <c r="I106" i="7"/>
  <c r="I174" i="7"/>
  <c r="AB118" i="1"/>
  <c r="O125" i="1"/>
  <c r="CA125" i="1"/>
  <c r="GP120" i="1"/>
  <c r="CD125" i="1" s="1"/>
  <c r="X44" i="1"/>
  <c r="AK30" i="1"/>
  <c r="P30" i="1"/>
  <c r="F47" i="1"/>
  <c r="P155" i="1"/>
  <c r="AZ118" i="1"/>
  <c r="F136" i="1"/>
  <c r="F147" i="1"/>
  <c r="U118" i="1"/>
  <c r="BC185" i="1"/>
  <c r="BC26" i="1"/>
  <c r="F171" i="1"/>
  <c r="Y44" i="1"/>
  <c r="AL30" i="1"/>
  <c r="AY86" i="1"/>
  <c r="CH76" i="1"/>
  <c r="F152" i="1"/>
  <c r="Y118" i="1"/>
  <c r="AS26" i="1"/>
  <c r="AS185" i="1"/>
  <c r="F172" i="1"/>
  <c r="F142" i="1"/>
  <c r="AS118" i="1"/>
  <c r="AT76" i="1"/>
  <c r="F104" i="1"/>
  <c r="AE30" i="1"/>
  <c r="R44" i="1"/>
  <c r="CD86" i="1"/>
  <c r="F128" i="1"/>
  <c r="P118" i="1"/>
  <c r="AZ30" i="1"/>
  <c r="AZ155" i="1"/>
  <c r="F55" i="1"/>
  <c r="BB185" i="1"/>
  <c r="F168" i="1"/>
  <c r="BB26" i="1"/>
  <c r="F143" i="1"/>
  <c r="AT118" i="1"/>
  <c r="F145" i="1"/>
  <c r="BA118" i="1"/>
  <c r="AT155" i="1"/>
  <c r="F103" i="1"/>
  <c r="AS76" i="1"/>
  <c r="AB30" i="1"/>
  <c r="O44" i="1"/>
  <c r="BD26" i="1"/>
  <c r="F180" i="1"/>
  <c r="BD185" i="1"/>
  <c r="V30" i="1"/>
  <c r="F67" i="1"/>
  <c r="V155" i="1"/>
  <c r="GP32" i="1"/>
  <c r="CD44" i="1" s="1"/>
  <c r="CA44" i="1"/>
  <c r="AZ86" i="1"/>
  <c r="CI76" i="1"/>
  <c r="F164" i="1"/>
  <c r="AP185" i="1"/>
  <c r="AP26" i="1"/>
  <c r="BA30" i="1"/>
  <c r="BA155" i="1"/>
  <c r="F64" i="1"/>
  <c r="AK118" i="1"/>
  <c r="X125" i="1"/>
  <c r="CF76" i="1"/>
  <c r="AW86" i="1"/>
  <c r="AO185" i="1"/>
  <c r="F159" i="1"/>
  <c r="AO26" i="1"/>
  <c r="F89" i="1"/>
  <c r="P76" i="1"/>
  <c r="F100" i="1"/>
  <c r="R76" i="1"/>
  <c r="CE76" i="1"/>
  <c r="AV86" i="1"/>
  <c r="AY44" i="1"/>
  <c r="CH30" i="1"/>
  <c r="S30" i="1"/>
  <c r="F59" i="1"/>
  <c r="S155" i="1"/>
  <c r="AW44" i="1"/>
  <c r="CF30" i="1"/>
  <c r="W118" i="1"/>
  <c r="F149" i="1"/>
  <c r="W30" i="1"/>
  <c r="F68" i="1"/>
  <c r="W155" i="1"/>
  <c r="CE30" i="1"/>
  <c r="AV44" i="1"/>
  <c r="V118" i="1"/>
  <c r="F148" i="1"/>
  <c r="U30" i="1"/>
  <c r="F66" i="1"/>
  <c r="U155" i="1"/>
  <c r="S118" i="1"/>
  <c r="F140" i="1"/>
  <c r="F88" i="1"/>
  <c r="O76" i="1"/>
  <c r="AW125" i="1"/>
  <c r="CF118" i="1"/>
  <c r="T30" i="1"/>
  <c r="F65" i="1"/>
  <c r="T155" i="1"/>
  <c r="CE118" i="1"/>
  <c r="AV125" i="1"/>
  <c r="CA86" i="1"/>
  <c r="CH118" i="1"/>
  <c r="AY125" i="1"/>
  <c r="AK76" i="1"/>
  <c r="X86" i="1"/>
  <c r="R125" i="1"/>
  <c r="AE118" i="1"/>
  <c r="F165" i="1"/>
  <c r="AQ185" i="1"/>
  <c r="AQ26" i="1"/>
  <c r="F98" i="1"/>
  <c r="Q76" i="1"/>
  <c r="F51" i="1"/>
  <c r="AX30" i="1"/>
  <c r="Q30" i="1"/>
  <c r="F56" i="1"/>
  <c r="Q155" i="1"/>
  <c r="CG76" i="1"/>
  <c r="AX86" i="1"/>
  <c r="Y76" i="1"/>
  <c r="F113" i="1"/>
  <c r="F96" i="1"/>
  <c r="AQ76" i="1"/>
  <c r="AX118" i="1"/>
  <c r="F132" i="1"/>
  <c r="T118" i="1"/>
  <c r="F146" i="1"/>
  <c r="F101" i="1"/>
  <c r="S76" i="1"/>
  <c r="F137" i="1"/>
  <c r="Q118" i="1"/>
  <c r="F50" i="1" l="1"/>
  <c r="AW30" i="1"/>
  <c r="AW155" i="1"/>
  <c r="F166" i="1"/>
  <c r="AZ185" i="1"/>
  <c r="AZ26" i="1"/>
  <c r="AY30" i="1"/>
  <c r="AY155" i="1"/>
  <c r="F52" i="1"/>
  <c r="F91" i="1"/>
  <c r="AV76" i="1"/>
  <c r="V26" i="1"/>
  <c r="F178" i="1"/>
  <c r="V185" i="1"/>
  <c r="R30" i="1"/>
  <c r="F58" i="1"/>
  <c r="R155" i="1"/>
  <c r="AV30" i="1"/>
  <c r="AV155" i="1"/>
  <c r="F49" i="1"/>
  <c r="CA76" i="1"/>
  <c r="AR86" i="1"/>
  <c r="F130" i="1"/>
  <c r="AV118" i="1"/>
  <c r="F175" i="1"/>
  <c r="BA185" i="1"/>
  <c r="BA26" i="1"/>
  <c r="AY76" i="1"/>
  <c r="F94" i="1"/>
  <c r="F93" i="1"/>
  <c r="AX76" i="1"/>
  <c r="T185" i="1"/>
  <c r="F176" i="1"/>
  <c r="T26" i="1"/>
  <c r="S185" i="1"/>
  <c r="F170" i="1"/>
  <c r="S26" i="1"/>
  <c r="AP217" i="1"/>
  <c r="AP22" i="1"/>
  <c r="F194" i="1"/>
  <c r="G16" i="2" s="1"/>
  <c r="F71" i="1"/>
  <c r="Y30" i="1"/>
  <c r="Y155" i="1"/>
  <c r="F167" i="1"/>
  <c r="Q185" i="1"/>
  <c r="Q26" i="1"/>
  <c r="BB22" i="1"/>
  <c r="F198" i="1"/>
  <c r="BB217" i="1"/>
  <c r="AW118" i="1"/>
  <c r="F131" i="1"/>
  <c r="AZ76" i="1"/>
  <c r="F97" i="1"/>
  <c r="BC22" i="1"/>
  <c r="F201" i="1"/>
  <c r="BC217" i="1"/>
  <c r="AX155" i="1"/>
  <c r="AR44" i="1"/>
  <c r="CA30" i="1"/>
  <c r="AU44" i="1"/>
  <c r="CD30" i="1"/>
  <c r="CD76" i="1"/>
  <c r="AU86" i="1"/>
  <c r="F177" i="1"/>
  <c r="U185" i="1"/>
  <c r="U26" i="1"/>
  <c r="P185" i="1"/>
  <c r="F158" i="1"/>
  <c r="P26" i="1"/>
  <c r="F210" i="1"/>
  <c r="BD217" i="1"/>
  <c r="BD22" i="1"/>
  <c r="AQ22" i="1"/>
  <c r="AQ217" i="1"/>
  <c r="F195" i="1"/>
  <c r="F46" i="1"/>
  <c r="O30" i="1"/>
  <c r="O155" i="1"/>
  <c r="X155" i="1"/>
  <c r="X30" i="1"/>
  <c r="F70" i="1"/>
  <c r="F139" i="1"/>
  <c r="R118" i="1"/>
  <c r="F189" i="1"/>
  <c r="AO22" i="1"/>
  <c r="AO217" i="1"/>
  <c r="CD118" i="1"/>
  <c r="AU125" i="1"/>
  <c r="X76" i="1"/>
  <c r="F112" i="1"/>
  <c r="F92" i="1"/>
  <c r="AW76" i="1"/>
  <c r="AR125" i="1"/>
  <c r="CA118" i="1"/>
  <c r="W26" i="1"/>
  <c r="F179" i="1"/>
  <c r="W185" i="1"/>
  <c r="AS22" i="1"/>
  <c r="F202" i="1"/>
  <c r="E16" i="2" s="1"/>
  <c r="AS217" i="1"/>
  <c r="F127" i="1"/>
  <c r="O118" i="1"/>
  <c r="AY118" i="1"/>
  <c r="F133" i="1"/>
  <c r="F151" i="1"/>
  <c r="X118" i="1"/>
  <c r="AT26" i="1"/>
  <c r="AT185" i="1"/>
  <c r="F173" i="1"/>
  <c r="F144" i="1" l="1"/>
  <c r="AU118" i="1"/>
  <c r="F114" i="1"/>
  <c r="AR76" i="1"/>
  <c r="F207" i="1"/>
  <c r="U22" i="1"/>
  <c r="U217" i="1"/>
  <c r="AO18" i="1"/>
  <c r="F221" i="1"/>
  <c r="AU76" i="1"/>
  <c r="F105" i="1"/>
  <c r="F63" i="1"/>
  <c r="AU30" i="1"/>
  <c r="AU155" i="1"/>
  <c r="AR30" i="1"/>
  <c r="AR155" i="1"/>
  <c r="F72" i="1"/>
  <c r="F208" i="1"/>
  <c r="V22" i="1"/>
  <c r="V217" i="1"/>
  <c r="X26" i="1"/>
  <c r="X185" i="1"/>
  <c r="F181" i="1"/>
  <c r="S22" i="1"/>
  <c r="F200" i="1"/>
  <c r="S217" i="1"/>
  <c r="AS18" i="1"/>
  <c r="F234" i="1"/>
  <c r="O185" i="1"/>
  <c r="F157" i="1"/>
  <c r="O26" i="1"/>
  <c r="BC18" i="1"/>
  <c r="F233" i="1"/>
  <c r="Y26" i="1"/>
  <c r="Y185" i="1"/>
  <c r="F182" i="1"/>
  <c r="AT22" i="1"/>
  <c r="F203" i="1"/>
  <c r="F16" i="2" s="1"/>
  <c r="AT217" i="1"/>
  <c r="AV185" i="1"/>
  <c r="F160" i="1"/>
  <c r="AV26" i="1"/>
  <c r="F169" i="1"/>
  <c r="R185" i="1"/>
  <c r="R26" i="1"/>
  <c r="F226" i="1"/>
  <c r="AP18" i="1"/>
  <c r="AX185" i="1"/>
  <c r="F162" i="1"/>
  <c r="AX26" i="1"/>
  <c r="T217" i="1"/>
  <c r="T22" i="1"/>
  <c r="F206" i="1"/>
  <c r="W22" i="1"/>
  <c r="W217" i="1"/>
  <c r="F209" i="1"/>
  <c r="F227" i="1"/>
  <c r="AQ18" i="1"/>
  <c r="F163" i="1"/>
  <c r="AY26" i="1"/>
  <c r="AY185" i="1"/>
  <c r="F153" i="1"/>
  <c r="AR118" i="1"/>
  <c r="BD18" i="1"/>
  <c r="F242" i="1"/>
  <c r="BB18" i="1"/>
  <c r="F230" i="1"/>
  <c r="AZ217" i="1"/>
  <c r="AZ22" i="1"/>
  <c r="F196" i="1"/>
  <c r="F205" i="1"/>
  <c r="BA217" i="1"/>
  <c r="BA22" i="1"/>
  <c r="F161" i="1"/>
  <c r="AW185" i="1"/>
  <c r="AW26" i="1"/>
  <c r="P217" i="1"/>
  <c r="P22" i="1"/>
  <c r="F188" i="1"/>
  <c r="Q217" i="1"/>
  <c r="Q22" i="1"/>
  <c r="F197" i="1"/>
  <c r="F199" i="1" l="1"/>
  <c r="R22" i="1"/>
  <c r="R217" i="1"/>
  <c r="AV22" i="1"/>
  <c r="AV217" i="1"/>
  <c r="F190" i="1"/>
  <c r="Q18" i="1"/>
  <c r="F229" i="1"/>
  <c r="AU26" i="1"/>
  <c r="F174" i="1"/>
  <c r="AU185" i="1"/>
  <c r="Y22" i="1"/>
  <c r="Y217" i="1"/>
  <c r="F212" i="1"/>
  <c r="P18" i="1"/>
  <c r="F220" i="1"/>
  <c r="X22" i="1"/>
  <c r="X217" i="1"/>
  <c r="F211" i="1"/>
  <c r="V18" i="1"/>
  <c r="F240" i="1"/>
  <c r="AY22" i="1"/>
  <c r="AY217" i="1"/>
  <c r="F193" i="1"/>
  <c r="AT18" i="1"/>
  <c r="F235" i="1"/>
  <c r="AR26" i="1"/>
  <c r="AR185" i="1"/>
  <c r="F183" i="1"/>
  <c r="F241" i="1"/>
  <c r="W18" i="1"/>
  <c r="AW22" i="1"/>
  <c r="AW217" i="1"/>
  <c r="F191" i="1"/>
  <c r="F238" i="1"/>
  <c r="T18" i="1"/>
  <c r="BA18" i="1"/>
  <c r="F237" i="1"/>
  <c r="O22" i="1"/>
  <c r="F187" i="1"/>
  <c r="O217" i="1"/>
  <c r="U18" i="1"/>
  <c r="F239" i="1"/>
  <c r="AX22" i="1"/>
  <c r="AX217" i="1"/>
  <c r="F192" i="1"/>
  <c r="F232" i="1"/>
  <c r="S18" i="1"/>
  <c r="F228" i="1"/>
  <c r="AZ18" i="1"/>
  <c r="J16" i="2"/>
  <c r="F219" i="1" l="1"/>
  <c r="O18" i="1"/>
  <c r="X18" i="1"/>
  <c r="F243" i="1"/>
  <c r="Y18" i="1"/>
  <c r="F244" i="1"/>
  <c r="AW18" i="1"/>
  <c r="F223" i="1"/>
  <c r="AU22" i="1"/>
  <c r="F204" i="1"/>
  <c r="H16" i="2" s="1"/>
  <c r="I16" i="2" s="1"/>
  <c r="N16" i="2" s="1"/>
  <c r="AU217" i="1"/>
  <c r="AR217" i="1"/>
  <c r="AR22" i="1"/>
  <c r="F213" i="1"/>
  <c r="AV18" i="1"/>
  <c r="F222" i="1"/>
  <c r="F231" i="1"/>
  <c r="R18" i="1"/>
  <c r="F224" i="1"/>
  <c r="AX18" i="1"/>
  <c r="F225" i="1"/>
  <c r="AY18" i="1"/>
  <c r="F215" i="1" l="1"/>
  <c r="AR18" i="1"/>
  <c r="F245" i="1"/>
  <c r="F246" i="1" s="1"/>
  <c r="AU18" i="1"/>
  <c r="F236" i="1"/>
  <c r="F248" i="1" l="1"/>
  <c r="I177" i="7" s="1"/>
</calcChain>
</file>

<file path=xl/sharedStrings.xml><?xml version="1.0" encoding="utf-8"?>
<sst xmlns="http://schemas.openxmlformats.org/spreadsheetml/2006/main" count="2556" uniqueCount="250">
  <si>
    <t>Smeta.RU Flash  (495) 974-1589</t>
  </si>
  <si>
    <t>_PS_</t>
  </si>
  <si>
    <t>Smeta.RU Flash</t>
  </si>
  <si>
    <t/>
  </si>
  <si>
    <t>Новый объект</t>
  </si>
  <si>
    <t>Зона 4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</si>
  <si>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</si>
  <si>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</si>
  <si>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</si>
  <si>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</si>
  <si>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</si>
  <si>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</si>
  <si>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</si>
  <si>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Локальная смета: Зона №4</t>
  </si>
  <si>
    <t>Новый раздел</t>
  </si>
  <si>
    <t>Раздел: Основная зона</t>
  </si>
  <si>
    <t>Новый подраздел</t>
  </si>
  <si>
    <t>1</t>
  </si>
  <si>
    <t>5.3-1102-12-1/1</t>
  </si>
  <si>
    <t>Уборка снега средствами малой механизации</t>
  </si>
  <si>
    <t>1000 м2</t>
  </si>
  <si>
    <t>СН-2012.5 Выпуск № 5 (в текущих ценах по состоянию на 01.10.2025 г.). 5.3-1102-12-1/1</t>
  </si>
  <si>
    <t>)*55</t>
  </si>
  <si>
    <t>СН-2012</t>
  </si>
  <si>
    <t>Подрядные работы, гл. 1-5,7</t>
  </si>
  <si>
    <t>работа</t>
  </si>
  <si>
    <t>2</t>
  </si>
  <si>
    <t>5.3-1102-8-1/1</t>
  </si>
  <si>
    <t>Уборка свежевыпавшего снега вручную толщиной слоя до 10 см</t>
  </si>
  <si>
    <t>100 м2</t>
  </si>
  <si>
    <t>СН-2012.5 Выпуск № 5 (в текущих ценах по состоянию на 01.10.2025 г.). 5.3-1102-8-1/1</t>
  </si>
  <si>
    <t>3</t>
  </si>
  <si>
    <t>5.3-1101-15-1/1</t>
  </si>
  <si>
    <t>Подметание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</si>
  <si>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5.3-1101-15-1/1</t>
  </si>
  <si>
    <t>3,1</t>
  </si>
  <si>
    <t>21.1-25-13</t>
  </si>
  <si>
    <t>Вода</t>
  </si>
  <si>
    <t>м3</t>
  </si>
  <si>
    <t>СН-2012.21 Выпуск № 5 (в текущих ценах по состоянию на 01.10.2025 г.). 21.1-25-13</t>
  </si>
  <si>
    <t>4</t>
  </si>
  <si>
    <t>5.3-1101-13-1/1</t>
  </si>
  <si>
    <t>Подметание вручную дорожек и площадок с твердым покрытием</t>
  </si>
  <si>
    <t>СН-2012.5 Выпуск № 5 (в текущих ценах по состоянию на 01.10.2025 г.). 5.3-1101-13-1/1</t>
  </si>
  <si>
    <t>5</t>
  </si>
  <si>
    <t>5.3-1101-13-2/1</t>
  </si>
  <si>
    <t>Подметание вручную дорожек и площадок с грунтовым и щебеночным покрытием</t>
  </si>
  <si>
    <t>СН-2012.5 Выпуск № 5 (в текущих ценах по состоянию на 01.10.2025 г.). 5.3-1101-13-2/1</t>
  </si>
  <si>
    <t>6</t>
  </si>
  <si>
    <t>5.3-1102-10-3/1</t>
  </si>
  <si>
    <t>Посыпка противогололедными реагентами ХКНтв дорожных покрытий вручную</t>
  </si>
  <si>
    <t>СН-2012.5 Выпуск № 5 (в текущих ценах по состоянию на 01.10.2025 г.). 5.3-1102-10-3/1</t>
  </si>
  <si>
    <t>)*20</t>
  </si>
  <si>
    <t>7</t>
  </si>
  <si>
    <t>5.3-1102-13-3/1</t>
  </si>
  <si>
    <t>Посыпка противогололедными реагентами дорожных покрытий средствами малой механизации</t>
  </si>
  <si>
    <t>СН-2012.5 Выпуск № 5 (в текущих ценах по состоянию на 01.10.2025 г.). 5.3-1102-13-3/1</t>
  </si>
  <si>
    <t>8</t>
  </si>
  <si>
    <t>5.3-1102-9-1/1</t>
  </si>
  <si>
    <t>Колка льда на обледеневших покрытиях вручную</t>
  </si>
  <si>
    <t>СН-2012.5 Выпуск № 5 (в текущих ценах по состоянию на 01.10.2025 г.). 5.3-1102-9-1/1</t>
  </si>
  <si>
    <t>)*10</t>
  </si>
  <si>
    <t>9</t>
  </si>
  <si>
    <t>5.3-1102-25-1/1</t>
  </si>
  <si>
    <t>Сбор и перемещение снега и скола к месту временного размещения механизированным способом, объем ковша погрузчика до 0,5 м3 - перемещение на 250 м (=163736,81*80%)*0,6*0,3</t>
  </si>
  <si>
    <t>СН-2012.5 Выпуск № 5 (в текущих ценах по состоянию на 01.10.2025 г.). 5.3-1102-25-1/1</t>
  </si>
  <si>
    <t>10</t>
  </si>
  <si>
    <t>5.3-1102-14-1/1</t>
  </si>
  <si>
    <t>Погрузка снега средствами малой механизации</t>
  </si>
  <si>
    <t>СН-2012.5 Выпуск № 5 (в текущих ценах по состоянию на 01.10.2025 г.). 5.3-1102-14-1/1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</si>
  <si>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</si>
  <si>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</si>
  <si>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</si>
  <si>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</si>
  <si>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</si>
  <si>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</si>
  <si>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</si>
  <si>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</si>
  <si>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</si>
  <si>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</si>
  <si>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</si>
  <si>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</si>
  <si>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</si>
  <si>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</si>
  <si>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</si>
  <si>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</si>
  <si>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</si>
  <si>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</si>
  <si>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</si>
  <si>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</si>
  <si>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</si>
  <si>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</si>
  <si>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</si>
  <si>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</si>
  <si>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</si>
  <si>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</si>
  <si>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</si>
  <si>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</si>
  <si>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</si>
  <si>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</si>
  <si>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</si>
  <si>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</si>
  <si>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</si>
  <si>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</si>
  <si>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</si>
  <si>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</si>
  <si>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</si>
  <si>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</si>
  <si>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</si>
  <si>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</si>
  <si>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</si>
  <si>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</si>
  <si>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</si>
  <si>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</si>
  <si>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</si>
  <si>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</si>
  <si>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</si>
  <si>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</si>
  <si>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</si>
  <si>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</si>
  <si>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</si>
  <si>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</si>
  <si>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</si>
  <si>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</si>
  <si>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11</t>
  </si>
  <si>
    <t>)*66</t>
  </si>
  <si>
    <t>12</t>
  </si>
  <si>
    <t>13</t>
  </si>
  <si>
    <t>5.3-1101-15-4/1</t>
  </si>
  <si>
    <t>Полив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</si>
  <si>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5.3-1101-15-4/1</t>
  </si>
  <si>
    <t>)*14</t>
  </si>
  <si>
    <t>13,1</t>
  </si>
  <si>
    <t>5.3-1101-15-5/1</t>
  </si>
  <si>
    <t>Мытье тротуаров, придомовых и внутрибольничных проездов средствами малой механизации</t>
  </si>
  <si>
    <t>СН-2012.5 Выпуск № 5 (в текущих ценах по состоянию на 01.10.2025 г.). 5.3-1101-15-5/1</t>
  </si>
  <si>
    <t>)*2</t>
  </si>
  <si>
    <t>14</t>
  </si>
  <si>
    <t>5.4-1201-1-1/1</t>
  </si>
  <si>
    <t>Сбор случайного мусора по территории</t>
  </si>
  <si>
    <t>СН-2012.5 Выпуск № 5 (в текущих ценах по состоянию на 01.10.2025 г.). 5.4-1201-1-1/1</t>
  </si>
  <si>
    <t>)*56</t>
  </si>
  <si>
    <t>15</t>
  </si>
  <si>
    <t>5.4-3201-7-2/1</t>
  </si>
  <si>
    <t>Выкашивание газонов газонокосилкой</t>
  </si>
  <si>
    <t>СН-2012.5 Выпуск № 5 (в текущих ценах по состоянию на 01.10.2025 г.). 5.4-3201-7-2/1</t>
  </si>
  <si>
    <t>)*5</t>
  </si>
  <si>
    <t>16</t>
  </si>
  <si>
    <t>5.4-3405-7-1/1</t>
  </si>
  <si>
    <t>Полив зеленых насаждений из шланга поливомоечной машины</t>
  </si>
  <si>
    <t>СН-2012.5 Выпуск № 5 (в текущих ценах по состоянию на 01.10.2025 г.). 5.4-3405-7-1/1</t>
  </si>
  <si>
    <t>16,1</t>
  </si>
  <si>
    <t>НДС 20%</t>
  </si>
  <si>
    <t>Итого с НДС</t>
  </si>
  <si>
    <t>и1</t>
  </si>
  <si>
    <t>Итого</t>
  </si>
  <si>
    <t>и2</t>
  </si>
  <si>
    <t>и3</t>
  </si>
  <si>
    <t>Уровень цен на 01.10.2025</t>
  </si>
  <si>
    <t>_OBSM_</t>
  </si>
  <si>
    <t>22.1-17-199</t>
  </si>
  <si>
    <t>СН-2012.22 Выпуск № 5 (в текущих ценах по состоянию на 01.10.2025 г.). 22.1-17-199</t>
  </si>
  <si>
    <t>Снегоочистители на базе мини-погрузчика грузоподъемностью до 1 т</t>
  </si>
  <si>
    <t>маш.-ч</t>
  </si>
  <si>
    <t>9999990008</t>
  </si>
  <si>
    <t>Трудозатраты рабочих</t>
  </si>
  <si>
    <t>чел.-ч.</t>
  </si>
  <si>
    <t>22.1-17-200</t>
  </si>
  <si>
    <t>СН-2012.22 Выпуск № 5 (в текущих ценах по состоянию на 01.10.2025 г.). 22.1-17-200</t>
  </si>
  <si>
    <t>Подметально-уборочные машины на базе мини-погрузчика грузоподъемностью до 1 т</t>
  </si>
  <si>
    <t>21.1-25-991</t>
  </si>
  <si>
    <t>СН-2012.21 Выпуск № 5 (в текущих ценах по состоянию на 01.10.2025 г.). 21.1-25-991</t>
  </si>
  <si>
    <t>Композиция (твердый многокомпонентный реагент противогололедный) на основе хлорида кальция и хлорида натрия (ХКНтв.), эффективность до -25°C</t>
  </si>
  <si>
    <t>кг</t>
  </si>
  <si>
    <t>22.1-17-198</t>
  </si>
  <si>
    <t>СН-2012.22 Выпуск № 5 (в текущих ценах по состоянию на 01.10.2025 г.). 22.1-17-198</t>
  </si>
  <si>
    <t>Разбрасыватели противогололедных материалов на базе мини-погрузчика грузоподъемностью до 1 т</t>
  </si>
  <si>
    <t>22.1-4-91</t>
  </si>
  <si>
    <t>СН-2012.22 Выпуск № 5 (в текущих ценах по состоянию на 01.10.2025 г.). 22.1-4-91</t>
  </si>
  <si>
    <t>Мини-погрузчики многофункциональные, грузоподъемность до 1 т</t>
  </si>
  <si>
    <t>21.1-24-31</t>
  </si>
  <si>
    <t>СН-2012.21 Выпуск № 5 (в текущих ценах по состоянию на 01.10.2025 г.). 21.1-24-31</t>
  </si>
  <si>
    <t>Средство моющее концентрированное для очистки от комплексных и атмосферных загрязнений, нефтепродуктов, экологически безопасное, биоразлагаемое, типа "Транс-пол"</t>
  </si>
  <si>
    <t>л</t>
  </si>
  <si>
    <t>21.1-25-637</t>
  </si>
  <si>
    <t>СН-2012.21 Выпуск № 5 (в текущих ценах по состоянию на 01.10.2025 г.). 21.1-25-637</t>
  </si>
  <si>
    <t>Пакеты ПНД для мусора, объем пакета 120 л</t>
  </si>
  <si>
    <t>шт.</t>
  </si>
  <si>
    <t>22.1-17-36</t>
  </si>
  <si>
    <t>СН-2012.22 Выпуск № 5 (в текущих ценах по состоянию на 01.10.2025 г.). 22.1-17-36</t>
  </si>
  <si>
    <t>Косилки моторные</t>
  </si>
  <si>
    <t>22.1-5-18</t>
  </si>
  <si>
    <t>СН-2012.22 Выпуск № 5 (в текущих ценах по состоянию на 01.10.2025 г.). 22.1-5-18</t>
  </si>
  <si>
    <t>Поливомоечные машины, емкость цистерны более 5000 л</t>
  </si>
  <si>
    <t>"СОГЛАСОВАНО"</t>
  </si>
  <si>
    <t>"УТВЕРЖДАЮ"</t>
  </si>
  <si>
    <t>Форма № 1а (глава 1-5)</t>
  </si>
  <si>
    <t>"_____"________________ 2025 г.</t>
  </si>
  <si>
    <t>(наименование объекта)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</si>
  <si>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</si>
  <si>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</si>
  <si>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</si>
  <si>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</si>
  <si>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</si>
  <si>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</si>
  <si>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</si>
  <si>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</si>
  <si>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</si>
  <si>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</si>
  <si>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стоимостного норматива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</si>
  <si>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</si>
  <si>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</si>
  <si>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</si>
  <si>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</si>
  <si>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</si>
  <si>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</si>
  <si>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</si>
  <si>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</si>
  <si>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</si>
  <si>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 xml:space="preserve">ЗТР, всего чел.-час
</t>
  </si>
  <si>
    <t xml:space="preserve">Ст-ть ед. с начислен.
</t>
  </si>
  <si>
    <t>Составлен(а) в уровне текущих (прогнозных) цен на IV квартал 2025 года</t>
  </si>
  <si>
    <t>ЭМ</t>
  </si>
  <si>
    <t>в т.ч. ЗПМ</t>
  </si>
  <si>
    <t>НР и НП от ЗПМ</t>
  </si>
  <si>
    <t>%</t>
  </si>
  <si>
    <t>ЗП</t>
  </si>
  <si>
    <t>НР от ЗП</t>
  </si>
  <si>
    <t>НП от ЗП</t>
  </si>
  <si>
    <t>ЗТР</t>
  </si>
  <si>
    <t>чел-ч</t>
  </si>
  <si>
    <t>МР</t>
  </si>
  <si>
    <t>к нр )*55</t>
  </si>
  <si>
    <t>к нр )*14</t>
  </si>
  <si>
    <t>к нр )*2</t>
  </si>
  <si>
    <t xml:space="preserve">Составил   </t>
  </si>
  <si>
    <t>[должность,подпись(инициалы,фамилия)]</t>
  </si>
  <si>
    <t xml:space="preserve">Проверил   </t>
  </si>
  <si>
    <t>___________________________</t>
  </si>
  <si>
    <t>" ___ " ___________ 20 ___ г.</t>
  </si>
  <si>
    <t>№ п/п</t>
  </si>
  <si>
    <t>№ в ЛСР</t>
  </si>
  <si>
    <t>Количество</t>
  </si>
  <si>
    <t>Примечание</t>
  </si>
  <si>
    <t>Главный инженер проекта _________________</t>
  </si>
  <si>
    <t>Составил _________________</t>
  </si>
  <si>
    <t xml:space="preserve">Подраздел: ЗИМНЯЯ УБОРКА </t>
  </si>
  <si>
    <t xml:space="preserve">Подраздел: ЛЕТНЯЯ УБОРКА </t>
  </si>
  <si>
    <t>Подраздел: УХОД ЗА ЗЕЛЕНЫМИ НАСАЖДЕНИЯМИ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</si>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</sst>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6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164" fontId="9" fillId="0" borderId="0" xfId="0" applyNumberFormat="1" applyFont="1"/>
    <xf numFmtId="1" fontId="9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5" fontId="0" fillId="0" borderId="0" xfId="0" applyNumberFormat="1"/>
    <xf numFmtId="0" fontId="15" fillId="0" borderId="0" xfId="0" applyFont="1" applyAlignment="1">
      <alignment horizontal="right"/>
    </xf>
    <xf numFmtId="0" fontId="0" fillId="0" borderId="6" xfId="0" applyBorder="1"/>
    <xf numFmtId="165" fontId="15" fillId="0" borderId="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7" fillId="0" borderId="0" xfId="0" applyFont="1" applyAlignment="1">
      <alignment vertical="top" wrapText="1"/>
    </xf>
    <xf numFmtId="0" fontId="9" fillId="0" borderId="1" xfId="0" applyFont="1" applyBorder="1"/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/>
    <xf numFmtId="165" fontId="9" fillId="0" borderId="0" xfId="0" applyNumberFormat="1" applyFont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right"/>
    </xf>
    <xf numFmtId="0" fontId="10" fillId="0" borderId="0" xfId="0" applyFont="1" applyAlignment="1">
      <alignment horizontal="center" wrapText="1"/>
    </xf>
    <xf numFmtId="165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right" vertical="center"/>
    </xf>
    <xf numFmtId="0" fontId="10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87138-A0B2-47AF-8F32-AA90170CCB10}">
  <sheetPr>
    <pageSetUpPr fitToPage="1"/>
  </sheetPr>
  <dimension ref="A1:AF184"/>
  <sheetViews>
    <sheetView tabSelected="1" topLeftCell="B143" zoomScaleNormal="100" workbookViewId="0">
      <selection activeCell="I177" sqref="I177:J177"/>
    </sheetView>
  </sheetViews>
  <sheetFormatPr defaultRowHeight="12.5" x14ac:dyDescent="0.25"/>
  <cols>
    <col min="1" max="1" width="5.54296875" customWidth="1"/>
    <col min="2" max="2" width="11.54296875" customWidth="1"/>
    <col min="3" max="3" width="40.54296875" customWidth="1"/>
    <col min="4" max="6" width="11.54296875" customWidth="1"/>
    <col min="7" max="9" width="12.54296875" customWidth="1"/>
    <col min="10" max="10" width="16.81640625" customWidth="1"/>
    <col min="11" max="11" width="12.54296875" customWidth="1"/>
    <col min="15" max="31" width="0" hidden="1" customWidth="1"/>
    <col min="32" max="32" width="116.54296875" hidden="1" customWidth="1"/>
    <col min="33" max="36" width="0" hidden="1" customWidth="1"/>
  </cols>
  <sheetData>
    <row r="1" spans="1:11" x14ac:dyDescent="0.25">
      <c r="A1" s="7" t="str">
        <f>CONCATENATE(Source!B1, "     СН-2012 (© ГБУ «Аналитический центр», ", "2025", ")")</f>
        <v>Smeta.RU Flash  (495) 974-1589     СН-2012 (© ГБУ «Аналитический центр», 2025)</v>
      </c>
    </row>
    <row r="2" spans="1:11" ht="14" x14ac:dyDescent="0.3">
      <c r="A2" s="8"/>
      <c r="B2" s="8"/>
      <c r="C2" s="8"/>
      <c r="D2" s="8"/>
      <c r="E2" s="8"/>
      <c r="F2" s="8"/>
      <c r="G2" s="8"/>
      <c r="H2" s="8"/>
      <c r="I2" s="8"/>
      <c r="J2" s="38" t="s">
        <v>196</v>
      </c>
      <c r="K2" s="38"/>
    </row>
    <row r="3" spans="1:11" ht="16.5" x14ac:dyDescent="0.35">
      <c r="A3" s="10"/>
      <c r="B3" s="44" t="s">
        <v>194</v>
      </c>
      <c r="C3" s="44"/>
      <c r="D3" s="44"/>
      <c r="E3" s="44"/>
      <c r="F3" s="9"/>
      <c r="G3" s="44" t="s">
        <v>195</v>
      </c>
      <c r="H3" s="44"/>
      <c r="I3" s="44"/>
      <c r="J3" s="44"/>
      <c r="K3" s="44"/>
    </row>
    <row r="4" spans="1:11" ht="14" x14ac:dyDescent="0.3">
      <c r="A4" s="9"/>
      <c r="B4" s="45"/>
      <c r="C4" s="45"/>
      <c r="D4" s="45"/>
      <c r="E4" s="45"/>
      <c r="F4" s="9"/>
      <c r="G4" s="45"/>
      <c r="H4" s="45"/>
      <c r="I4" s="45"/>
      <c r="J4" s="45"/>
      <c r="K4" s="45"/>
    </row>
    <row r="5" spans="1:11" ht="14" x14ac:dyDescent="0.3">
      <c r="A5" s="9"/>
      <c r="B5" s="9"/>
      <c r="C5" s="11"/>
      <c r="D5" s="11"/>
      <c r="E5" s="11"/>
      <c r="F5" s="9"/>
      <c r="G5" s="11"/>
      <c r="H5" s="11"/>
      <c r="I5" s="11"/>
      <c r="J5" s="11"/>
      <c r="K5" s="11"/>
    </row>
    <row r="6" spans="1:11" ht="14" x14ac:dyDescent="0.3">
      <c r="A6" s="11"/>
      <c r="B6" s="45" t="str">
        <f>CONCATENATE("______________________ ", IF(Source!AL12&lt;&gt;"", Source!AL12, ""))</f>
        <v xml:space="preserve">______________________ </v>
      </c>
      <c r="C6" s="45"/>
      <c r="D6" s="45"/>
      <c r="E6" s="45"/>
      <c r="F6" s="9"/>
      <c r="G6" s="45" t="str">
        <f>CONCATENATE("______________________ ", IF(Source!AH12&lt;&gt;"", Source!AH12, ""))</f>
        <v xml:space="preserve">______________________ </v>
      </c>
      <c r="H6" s="45"/>
      <c r="I6" s="45"/>
      <c r="J6" s="45"/>
      <c r="K6" s="45"/>
    </row>
    <row r="7" spans="1:11" ht="14" x14ac:dyDescent="0.3">
      <c r="A7" s="12"/>
      <c r="B7" s="46" t="s">
        <v>197</v>
      </c>
      <c r="C7" s="46"/>
      <c r="D7" s="46"/>
      <c r="E7" s="46"/>
      <c r="F7" s="9"/>
      <c r="G7" s="46" t="s">
        <v>197</v>
      </c>
      <c r="H7" s="46"/>
      <c r="I7" s="46"/>
      <c r="J7" s="46"/>
      <c r="K7" s="46"/>
    </row>
    <row r="9" spans="1:11" ht="14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8" hidden="1" x14ac:dyDescent="0.4">
      <c r="A10" s="39" t="str">
        <f>IF(Source!G12&lt;&gt;"Новый объект", Source!G12, "")</f>
        <v>Зона 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11" hidden="1" x14ac:dyDescent="0.25">
      <c r="A11" s="40" t="s">
        <v>198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ht="14" hidden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5.5" x14ac:dyDescent="0.35">
      <c r="A13" s="42" t="str">
        <f>CONCATENATE( "ЛОКАЛЬНАЯ СМЕТА № ",IF(Source!F12&lt;&gt;"Новый объект", Source!F12, ""))</f>
        <v xml:space="preserve">ЛОКАЛЬНАЯ СМЕТА № 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x14ac:dyDescent="0.25">
      <c r="A14" s="41" t="s">
        <v>199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ht="18" x14ac:dyDescent="0.4">
      <c r="A16" s="39" t="str">
        <f>IF(Source!G12&lt;&gt;"Новый объект", Source!G12, "")</f>
        <v>Зона 4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1" x14ac:dyDescent="0.25">
      <c r="A17" s="41" t="s">
        <v>200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ht="14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ht="14" x14ac:dyDescent="0.3">
      <c r="A19" s="46" t="str">
        <f>CONCATENATE( "Основание: чертежи № ", Source!J12)</f>
        <v xml:space="preserve">Основание: чертежи № 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</row>
    <row r="20" spans="1:11" ht="14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4" x14ac:dyDescent="0.3">
      <c r="A21" s="9"/>
      <c r="B21" s="9"/>
      <c r="C21" s="9"/>
      <c r="D21" s="9"/>
      <c r="E21" s="9"/>
      <c r="F21" s="45" t="s">
        <v>201</v>
      </c>
      <c r="G21" s="45"/>
      <c r="H21" s="45"/>
      <c r="I21" s="48">
        <f>I22+I23+I24+I25</f>
        <v>100459.25</v>
      </c>
      <c r="J21" s="38"/>
      <c r="K21" s="9" t="s">
        <v>202</v>
      </c>
    </row>
    <row r="22" spans="1:11" ht="14" hidden="1" x14ac:dyDescent="0.3">
      <c r="A22" s="9"/>
      <c r="B22" s="9"/>
      <c r="C22" s="9"/>
      <c r="D22" s="9"/>
      <c r="E22" s="9"/>
      <c r="F22" s="45" t="s">
        <v>203</v>
      </c>
      <c r="G22" s="45"/>
      <c r="H22" s="45"/>
      <c r="I22" s="48">
        <f>ROUND((Source!F234)/1000, 2)</f>
        <v>0</v>
      </c>
      <c r="J22" s="38"/>
      <c r="K22" s="9" t="s">
        <v>202</v>
      </c>
    </row>
    <row r="23" spans="1:11" ht="14" hidden="1" x14ac:dyDescent="0.3">
      <c r="A23" s="9"/>
      <c r="B23" s="9"/>
      <c r="C23" s="9"/>
      <c r="D23" s="9"/>
      <c r="E23" s="9"/>
      <c r="F23" s="45" t="s">
        <v>204</v>
      </c>
      <c r="G23" s="45"/>
      <c r="H23" s="45"/>
      <c r="I23" s="48">
        <f>ROUND((Source!F235)/1000, 2)</f>
        <v>0</v>
      </c>
      <c r="J23" s="38"/>
      <c r="K23" s="9" t="s">
        <v>202</v>
      </c>
    </row>
    <row r="24" spans="1:11" ht="14" hidden="1" x14ac:dyDescent="0.3">
      <c r="A24" s="9"/>
      <c r="B24" s="9"/>
      <c r="C24" s="9"/>
      <c r="D24" s="9"/>
      <c r="E24" s="9"/>
      <c r="F24" s="45" t="s">
        <v>205</v>
      </c>
      <c r="G24" s="45"/>
      <c r="H24" s="45"/>
      <c r="I24" s="48">
        <f>ROUND((Source!F226)/1000, 2)</f>
        <v>0</v>
      </c>
      <c r="J24" s="38"/>
      <c r="K24" s="9" t="s">
        <v>202</v>
      </c>
    </row>
    <row r="25" spans="1:11" ht="14" hidden="1" x14ac:dyDescent="0.3">
      <c r="A25" s="9"/>
      <c r="B25" s="9"/>
      <c r="C25" s="9"/>
      <c r="D25" s="9"/>
      <c r="E25" s="9"/>
      <c r="F25" s="45" t="s">
        <v>206</v>
      </c>
      <c r="G25" s="45"/>
      <c r="H25" s="45"/>
      <c r="I25" s="48">
        <f>ROUND((Source!F236+Source!F237)/1000, 2)</f>
        <v>100459.25</v>
      </c>
      <c r="J25" s="38"/>
      <c r="K25" s="9" t="s">
        <v>202</v>
      </c>
    </row>
    <row r="26" spans="1:11" ht="14" x14ac:dyDescent="0.3">
      <c r="A26" s="9"/>
      <c r="B26" s="9"/>
      <c r="C26" s="9"/>
      <c r="D26" s="9"/>
      <c r="E26" s="9"/>
      <c r="F26" s="45" t="s">
        <v>207</v>
      </c>
      <c r="G26" s="45"/>
      <c r="H26" s="45"/>
      <c r="I26" s="48">
        <f>(Source!F232+ Source!F231)/1000</f>
        <v>37514.62386</v>
      </c>
      <c r="J26" s="38"/>
      <c r="K26" s="9" t="s">
        <v>202</v>
      </c>
    </row>
    <row r="27" spans="1:11" ht="14" x14ac:dyDescent="0.3">
      <c r="A27" s="9" t="s">
        <v>221</v>
      </c>
      <c r="B27" s="9"/>
      <c r="C27" s="9"/>
      <c r="D27" s="14"/>
      <c r="E27" s="15"/>
      <c r="F27" s="9"/>
      <c r="G27" s="9"/>
      <c r="H27" s="9"/>
      <c r="I27" s="9"/>
      <c r="J27" s="9"/>
      <c r="K27" s="9"/>
    </row>
    <row r="28" spans="1:11" ht="14.5" x14ac:dyDescent="0.25">
      <c r="A28" s="49" t="s">
        <v>208</v>
      </c>
      <c r="B28" s="49" t="s">
        <v>209</v>
      </c>
      <c r="C28" s="49" t="s">
        <v>210</v>
      </c>
      <c r="D28" s="49" t="s">
        <v>211</v>
      </c>
      <c r="E28" s="49" t="s">
        <v>212</v>
      </c>
      <c r="F28" s="49" t="s">
        <v>213</v>
      </c>
      <c r="G28" s="49" t="s">
        <v>214</v>
      </c>
      <c r="H28" s="49" t="s">
        <v>215</v>
      </c>
      <c r="I28" s="49" t="s">
        <v>216</v>
      </c>
      <c r="J28" s="49" t="s">
        <v>217</v>
      </c>
      <c r="K28" s="17" t="s">
        <v>218</v>
      </c>
    </row>
    <row r="29" spans="1:11" ht="42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18" t="s">
        <v>219</v>
      </c>
    </row>
    <row r="30" spans="1:11" ht="42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18" t="s">
        <v>220</v>
      </c>
    </row>
    <row r="31" spans="1:11" ht="14" x14ac:dyDescent="0.25">
      <c r="A31" s="18">
        <v>1</v>
      </c>
      <c r="B31" s="18">
        <v>2</v>
      </c>
      <c r="C31" s="18">
        <v>3</v>
      </c>
      <c r="D31" s="18">
        <v>4</v>
      </c>
      <c r="E31" s="18">
        <v>5</v>
      </c>
      <c r="F31" s="18">
        <v>6</v>
      </c>
      <c r="G31" s="18">
        <v>7</v>
      </c>
      <c r="H31" s="18">
        <v>8</v>
      </c>
      <c r="I31" s="18">
        <v>9</v>
      </c>
      <c r="J31" s="18">
        <v>10</v>
      </c>
      <c r="K31" s="18">
        <v>11</v>
      </c>
    </row>
    <row r="33" spans="1:22" ht="16.5" x14ac:dyDescent="0.35">
      <c r="A33" s="52" t="str">
        <f>CONCATENATE("Локальная смета: ",IF(Source!G20&lt;&gt;"Новая локальная смета", Source!G20, ""))</f>
        <v>Локальная смета: Локальная смета: Зона №4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</row>
    <row r="35" spans="1:22" ht="16.5" x14ac:dyDescent="0.35">
      <c r="A35" s="52" t="str">
        <f>CONCATENATE("Раздел: ",IF(Source!G24&lt;&gt;"Новый раздел", Source!G24, ""))</f>
        <v>Раздел: Раздел: Основная зона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</row>
    <row r="37" spans="1:22" ht="16.5" x14ac:dyDescent="0.35">
      <c r="A37" s="52" t="str">
        <f>CONCATENATE("Подраздел: ",IF(Source!G28&lt;&gt;"Новый подраздел", Source!G28, ""))</f>
        <v xml:space="preserve">Подраздел: Подраздел: ЗИМНЯЯ УБОРКА 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</row>
    <row r="38" spans="1:22" ht="28" x14ac:dyDescent="0.35">
      <c r="A38" s="19">
        <v>1</v>
      </c>
      <c r="B38" s="19" t="str">
        <f>Source!F32</f>
        <v>5.3-1102-12-1/1</v>
      </c>
      <c r="C38" s="19" t="str">
        <f>Source!G32</f>
        <v>Уборка снега средствами малой механизации</v>
      </c>
      <c r="D38" s="20" t="str">
        <f>Source!H32</f>
        <v>1000 м2</v>
      </c>
      <c r="E38" s="8">
        <f>Source!I32</f>
        <v>130.98945000000001</v>
      </c>
      <c r="F38" s="22"/>
      <c r="G38" s="21"/>
      <c r="H38" s="8"/>
      <c r="I38" s="8"/>
      <c r="J38" s="22"/>
      <c r="K38" s="22"/>
      <c r="Q38">
        <f>ROUND((Source!BZ32/100)*ROUND((Source!AF32*Source!AV32)*Source!I32, 2), 2)</f>
        <v>0</v>
      </c>
      <c r="R38">
        <f>Source!X32</f>
        <v>0</v>
      </c>
      <c r="S38">
        <f>ROUND((Source!CA32/100)*ROUND((Source!AF32*Source!AV32)*Source!I32, 2), 2)</f>
        <v>0</v>
      </c>
      <c r="T38">
        <f>Source!Y32</f>
        <v>0</v>
      </c>
      <c r="U38">
        <f>ROUND((175/100)*ROUND((Source!AE32*Source!AV32)*Source!I32, 2), 2)</f>
        <v>5503150.0700000003</v>
      </c>
      <c r="V38">
        <f>ROUND((108/100)*ROUND(Source!CS32*Source!I32, 2), 2)</f>
        <v>3396229.75</v>
      </c>
    </row>
    <row r="39" spans="1:22" ht="14.5" x14ac:dyDescent="0.35">
      <c r="A39" s="19"/>
      <c r="B39" s="19"/>
      <c r="C39" s="19" t="s">
        <v>222</v>
      </c>
      <c r="D39" s="20"/>
      <c r="E39" s="8"/>
      <c r="F39" s="22">
        <f>Source!AM32</f>
        <v>1257.99</v>
      </c>
      <c r="G39" s="21" t="str">
        <f>Source!DE32</f>
        <v>)*55</v>
      </c>
      <c r="H39" s="8">
        <f>Source!AV32</f>
        <v>1</v>
      </c>
      <c r="I39" s="8">
        <f>IF(Source!BB32&lt;&gt; 0, Source!BB32, 1)</f>
        <v>1</v>
      </c>
      <c r="J39" s="22">
        <f>Source!Q32</f>
        <v>9063088</v>
      </c>
      <c r="K39" s="22"/>
    </row>
    <row r="40" spans="1:22" ht="14.5" x14ac:dyDescent="0.35">
      <c r="A40" s="19"/>
      <c r="B40" s="19"/>
      <c r="C40" s="19" t="s">
        <v>223</v>
      </c>
      <c r="D40" s="20"/>
      <c r="E40" s="8"/>
      <c r="F40" s="22">
        <f>Source!AN32</f>
        <v>436.49</v>
      </c>
      <c r="G40" s="21" t="str">
        <f>Source!DF32</f>
        <v>)*55</v>
      </c>
      <c r="H40" s="8">
        <f>Source!AV32</f>
        <v>1</v>
      </c>
      <c r="I40" s="8">
        <f>IF(Source!BS32&lt;&gt; 0, Source!BS32, 1)</f>
        <v>1</v>
      </c>
      <c r="J40" s="23">
        <f>Source!R32</f>
        <v>3144657.18</v>
      </c>
      <c r="K40" s="22"/>
    </row>
    <row r="41" spans="1:22" ht="14.5" x14ac:dyDescent="0.35">
      <c r="A41" s="19"/>
      <c r="B41" s="19"/>
      <c r="C41" s="19" t="s">
        <v>224</v>
      </c>
      <c r="D41" s="20" t="s">
        <v>225</v>
      </c>
      <c r="E41" s="8">
        <f>108</f>
        <v>108</v>
      </c>
      <c r="F41" s="22"/>
      <c r="G41" s="21"/>
      <c r="H41" s="8"/>
      <c r="I41" s="8"/>
      <c r="J41" s="22">
        <f>SUM(V38:V40)</f>
        <v>3396229.75</v>
      </c>
      <c r="K41" s="22"/>
    </row>
    <row r="42" spans="1:22" ht="14" x14ac:dyDescent="0.3">
      <c r="A42" s="26"/>
      <c r="B42" s="26"/>
      <c r="C42" s="26"/>
      <c r="D42" s="26"/>
      <c r="E42" s="26"/>
      <c r="F42" s="26"/>
      <c r="G42" s="26"/>
      <c r="H42" s="26"/>
      <c r="I42" s="51">
        <f>J39+J41</f>
        <v>12459317.75</v>
      </c>
      <c r="J42" s="51"/>
      <c r="K42" s="27">
        <f>IF(Source!I32&lt;&gt;0, ROUND(I42/Source!I32, 2), 0)</f>
        <v>95116.96</v>
      </c>
      <c r="P42" s="24">
        <f>I42</f>
        <v>12459317.75</v>
      </c>
    </row>
    <row r="43" spans="1:22" ht="28" x14ac:dyDescent="0.35">
      <c r="A43" s="19">
        <v>2</v>
      </c>
      <c r="B43" s="19" t="str">
        <f>Source!F33</f>
        <v>5.3-1102-8-1/1</v>
      </c>
      <c r="C43" s="19" t="str">
        <f>Source!G33</f>
        <v>Уборка свежевыпавшего снега вручную толщиной слоя до 10 см</v>
      </c>
      <c r="D43" s="20" t="str">
        <f>Source!H33</f>
        <v>100 м2</v>
      </c>
      <c r="E43" s="8">
        <f>Source!I33</f>
        <v>327.47359999999998</v>
      </c>
      <c r="F43" s="22"/>
      <c r="G43" s="21"/>
      <c r="H43" s="8"/>
      <c r="I43" s="8"/>
      <c r="J43" s="22"/>
      <c r="K43" s="22"/>
      <c r="Q43">
        <f>ROUND((Source!BZ33/100)*ROUND((Source!AF33*Source!AV33)*Source!I33, 2), 2)</f>
        <v>3713481.86</v>
      </c>
      <c r="R43">
        <f>Source!X33</f>
        <v>3713481.86</v>
      </c>
      <c r="S43">
        <f>ROUND((Source!CA33/100)*ROUND((Source!AF33*Source!AV33)*Source!I33, 2), 2)</f>
        <v>530497.41</v>
      </c>
      <c r="T43">
        <f>Source!Y33</f>
        <v>530497.41</v>
      </c>
      <c r="U43">
        <f>ROUND((175/100)*ROUND((Source!AE33*Source!AV33)*Source!I33, 2), 2)</f>
        <v>0</v>
      </c>
      <c r="V43">
        <f>ROUND((108/100)*ROUND(Source!CS33*Source!I33, 2), 2)</f>
        <v>0</v>
      </c>
    </row>
    <row r="44" spans="1:22" ht="14.5" x14ac:dyDescent="0.35">
      <c r="A44" s="19"/>
      <c r="B44" s="19"/>
      <c r="C44" s="19" t="s">
        <v>226</v>
      </c>
      <c r="D44" s="20"/>
      <c r="E44" s="8"/>
      <c r="F44" s="22">
        <f>Source!AO33</f>
        <v>294.54000000000002</v>
      </c>
      <c r="G44" s="21" t="str">
        <f>Source!DG33</f>
        <v>)*55</v>
      </c>
      <c r="H44" s="8">
        <f>Source!AV33</f>
        <v>1</v>
      </c>
      <c r="I44" s="8">
        <f>IF(Source!BA33&lt;&gt; 0, Source!BA33, 1)</f>
        <v>1</v>
      </c>
      <c r="J44" s="22">
        <f>Source!S33</f>
        <v>5304974.08</v>
      </c>
      <c r="K44" s="22"/>
    </row>
    <row r="45" spans="1:22" ht="14.5" x14ac:dyDescent="0.35">
      <c r="A45" s="19"/>
      <c r="B45" s="19"/>
      <c r="C45" s="19" t="s">
        <v>227</v>
      </c>
      <c r="D45" s="20" t="s">
        <v>225</v>
      </c>
      <c r="E45" s="8">
        <f>Source!AT33</f>
        <v>70</v>
      </c>
      <c r="F45" s="22"/>
      <c r="G45" s="21"/>
      <c r="H45" s="8"/>
      <c r="I45" s="8"/>
      <c r="J45" s="22">
        <f>SUM(R43:R44)</f>
        <v>3713481.86</v>
      </c>
      <c r="K45" s="22"/>
    </row>
    <row r="46" spans="1:22" ht="14.5" x14ac:dyDescent="0.35">
      <c r="A46" s="19"/>
      <c r="B46" s="19"/>
      <c r="C46" s="19" t="s">
        <v>228</v>
      </c>
      <c r="D46" s="20" t="s">
        <v>225</v>
      </c>
      <c r="E46" s="8">
        <f>Source!AU33</f>
        <v>10</v>
      </c>
      <c r="F46" s="22"/>
      <c r="G46" s="21"/>
      <c r="H46" s="8"/>
      <c r="I46" s="8"/>
      <c r="J46" s="22">
        <f>SUM(T43:T45)</f>
        <v>530497.41</v>
      </c>
      <c r="K46" s="22"/>
    </row>
    <row r="47" spans="1:22" ht="14.5" x14ac:dyDescent="0.35">
      <c r="A47" s="19"/>
      <c r="B47" s="19"/>
      <c r="C47" s="19" t="s">
        <v>229</v>
      </c>
      <c r="D47" s="20" t="s">
        <v>230</v>
      </c>
      <c r="E47" s="8">
        <f>Source!AQ33</f>
        <v>0.65</v>
      </c>
      <c r="F47" s="22"/>
      <c r="G47" s="21" t="str">
        <f>Source!DI33</f>
        <v>)*55</v>
      </c>
      <c r="H47" s="8">
        <f>Source!AV33</f>
        <v>1</v>
      </c>
      <c r="I47" s="8"/>
      <c r="J47" s="22"/>
      <c r="K47" s="22">
        <f>Source!U33</f>
        <v>11707.181199999999</v>
      </c>
    </row>
    <row r="48" spans="1:22" ht="14" x14ac:dyDescent="0.3">
      <c r="A48" s="26"/>
      <c r="B48" s="26"/>
      <c r="C48" s="26"/>
      <c r="D48" s="26"/>
      <c r="E48" s="26"/>
      <c r="F48" s="26"/>
      <c r="G48" s="26"/>
      <c r="H48" s="26"/>
      <c r="I48" s="51">
        <f>J44+J45+J46</f>
        <v>9548953.3499999996</v>
      </c>
      <c r="J48" s="51"/>
      <c r="K48" s="27">
        <f>IF(Source!I33&lt;&gt;0, ROUND(I48/Source!I33, 2), 0)</f>
        <v>29159.46</v>
      </c>
      <c r="P48" s="24">
        <f>I48</f>
        <v>9548953.3499999996</v>
      </c>
    </row>
    <row r="49" spans="1:22" ht="42" x14ac:dyDescent="0.35">
      <c r="A49" s="19">
        <v>3</v>
      </c>
      <c r="B49" s="19" t="str">
        <f>Source!F34</f>
        <v>5.3-1101-15-1/1</v>
      </c>
      <c r="C49" s="19" t="str">
        <f>Source!G34</f>
        <v>Подметание тротуаров, придомовых и внутрибольничных проездов средствами малой механизации</v>
      </c>
      <c r="D49" s="20" t="str">
        <f>Source!H34</f>
        <v>1000 м2</v>
      </c>
      <c r="E49" s="8">
        <f>Source!I34</f>
        <v>130.98945000000001</v>
      </c>
      <c r="F49" s="22"/>
      <c r="G49" s="21"/>
      <c r="H49" s="8"/>
      <c r="I49" s="8"/>
      <c r="J49" s="22"/>
      <c r="K49" s="22"/>
      <c r="Q49">
        <f>ROUND((Source!BZ34/100)*ROUND((Source!AF34*Source!AV34)*Source!I34, 2), 2)</f>
        <v>0</v>
      </c>
      <c r="R49">
        <f>Source!X34</f>
        <v>0</v>
      </c>
      <c r="S49">
        <f>ROUND((Source!CA34/100)*ROUND((Source!AF34*Source!AV34)*Source!I34, 2), 2)</f>
        <v>0</v>
      </c>
      <c r="T49">
        <f>Source!Y34</f>
        <v>0</v>
      </c>
      <c r="U49">
        <f>ROUND((175/100)*ROUND((Source!AE34*Source!AV34)*Source!I34, 2), 2)</f>
        <v>2762985.03</v>
      </c>
      <c r="V49">
        <f>ROUND((108/100)*ROUND(Source!CS34*Source!I34, 2), 2)</f>
        <v>1705156.48</v>
      </c>
    </row>
    <row r="50" spans="1:22" ht="14.5" x14ac:dyDescent="0.35">
      <c r="A50" s="19"/>
      <c r="B50" s="19"/>
      <c r="C50" s="19" t="s">
        <v>222</v>
      </c>
      <c r="D50" s="20"/>
      <c r="E50" s="8"/>
      <c r="F50" s="22">
        <f>Source!AM34</f>
        <v>463.65</v>
      </c>
      <c r="G50" s="21" t="str">
        <f>Source!DE34</f>
        <v>)*55</v>
      </c>
      <c r="H50" s="8">
        <f>Source!AV34</f>
        <v>1</v>
      </c>
      <c r="I50" s="8">
        <f>IF(Source!BB34&lt;&gt; 0, Source!BB34, 1)</f>
        <v>1</v>
      </c>
      <c r="J50" s="22">
        <f>Source!Q34</f>
        <v>3340329.22</v>
      </c>
      <c r="K50" s="22"/>
    </row>
    <row r="51" spans="1:22" ht="14.5" x14ac:dyDescent="0.35">
      <c r="A51" s="19"/>
      <c r="B51" s="19"/>
      <c r="C51" s="19" t="s">
        <v>223</v>
      </c>
      <c r="D51" s="20"/>
      <c r="E51" s="8"/>
      <c r="F51" s="22">
        <f>Source!AN34</f>
        <v>219.15</v>
      </c>
      <c r="G51" s="21" t="str">
        <f>Source!DF34</f>
        <v>)*55</v>
      </c>
      <c r="H51" s="8">
        <f>Source!AV34</f>
        <v>1</v>
      </c>
      <c r="I51" s="8">
        <f>IF(Source!BS34&lt;&gt; 0, Source!BS34, 1)</f>
        <v>1</v>
      </c>
      <c r="J51" s="23">
        <f>Source!R34</f>
        <v>1578848.59</v>
      </c>
      <c r="K51" s="22"/>
    </row>
    <row r="52" spans="1:22" ht="14.5" x14ac:dyDescent="0.35">
      <c r="A52" s="19"/>
      <c r="B52" s="19"/>
      <c r="C52" s="19" t="s">
        <v>231</v>
      </c>
      <c r="D52" s="20"/>
      <c r="E52" s="8"/>
      <c r="F52" s="22">
        <f>Source!AL34</f>
        <v>10.96</v>
      </c>
      <c r="G52" s="21" t="str">
        <f>Source!DD34</f>
        <v>)*55</v>
      </c>
      <c r="H52" s="8">
        <f>Source!AW34</f>
        <v>1</v>
      </c>
      <c r="I52" s="8">
        <f>IF(Source!BC34&lt;&gt; 0, Source!BC34, 1)</f>
        <v>1</v>
      </c>
      <c r="J52" s="22">
        <f>Source!P34</f>
        <v>78960.44</v>
      </c>
      <c r="K52" s="22"/>
    </row>
    <row r="53" spans="1:22" ht="14.5" x14ac:dyDescent="0.35">
      <c r="A53" s="19" t="s">
        <v>35</v>
      </c>
      <c r="B53" s="19" t="str">
        <f>Source!F35</f>
        <v>21.1-25-13</v>
      </c>
      <c r="C53" s="19" t="str">
        <f>Source!G35</f>
        <v>Вода</v>
      </c>
      <c r="D53" s="20" t="str">
        <f>Source!H35</f>
        <v>м3</v>
      </c>
      <c r="E53" s="8">
        <f>Source!I35</f>
        <v>-1440.8839499999999</v>
      </c>
      <c r="F53" s="22">
        <f>Source!AK35</f>
        <v>54.81</v>
      </c>
      <c r="G53" s="28" t="s">
        <v>232</v>
      </c>
      <c r="H53" s="8">
        <f>Source!AW35</f>
        <v>1</v>
      </c>
      <c r="I53" s="8">
        <f>IF(Source!BC35&lt;&gt; 0, Source!BC35, 1)</f>
        <v>1</v>
      </c>
      <c r="J53" s="22">
        <f>Source!O35</f>
        <v>-78974.850000000006</v>
      </c>
      <c r="K53" s="22"/>
      <c r="Q53">
        <f>ROUND((Source!BZ35/100)*ROUND((Source!AF35*Source!AV35)*Source!I35, 2), 2)</f>
        <v>0</v>
      </c>
      <c r="R53">
        <f>Source!X35</f>
        <v>0</v>
      </c>
      <c r="S53">
        <f>ROUND((Source!CA35/100)*ROUND((Source!AF35*Source!AV35)*Source!I35, 2), 2)</f>
        <v>0</v>
      </c>
      <c r="T53">
        <f>Source!Y35</f>
        <v>0</v>
      </c>
      <c r="U53">
        <f>ROUND((175/100)*ROUND((Source!AE35*Source!AV35)*Source!I35, 2), 2)</f>
        <v>0</v>
      </c>
      <c r="V53">
        <f>ROUND((108/100)*ROUND(Source!CS35*Source!I35, 2), 2)</f>
        <v>0</v>
      </c>
    </row>
    <row r="54" spans="1:22" ht="14.5" x14ac:dyDescent="0.35">
      <c r="A54" s="19"/>
      <c r="B54" s="19"/>
      <c r="C54" s="19" t="s">
        <v>224</v>
      </c>
      <c r="D54" s="20" t="s">
        <v>225</v>
      </c>
      <c r="E54" s="8">
        <f>108</f>
        <v>108</v>
      </c>
      <c r="F54" s="22"/>
      <c r="G54" s="21"/>
      <c r="H54" s="8"/>
      <c r="I54" s="8"/>
      <c r="J54" s="22">
        <f>SUM(V49:V53)</f>
        <v>1705156.48</v>
      </c>
      <c r="K54" s="22"/>
    </row>
    <row r="55" spans="1:22" ht="14" x14ac:dyDescent="0.3">
      <c r="A55" s="26"/>
      <c r="B55" s="26"/>
      <c r="C55" s="26"/>
      <c r="D55" s="26"/>
      <c r="E55" s="26"/>
      <c r="F55" s="26"/>
      <c r="G55" s="26"/>
      <c r="H55" s="26"/>
      <c r="I55" s="51">
        <f>J50+J52+J54+SUM(J53:J53)</f>
        <v>5045471.290000001</v>
      </c>
      <c r="J55" s="51"/>
      <c r="K55" s="27">
        <f>IF(Source!I34&lt;&gt;0, ROUND(I55/Source!I34, 2), 0)</f>
        <v>38518.15</v>
      </c>
      <c r="P55" s="24">
        <f>I55</f>
        <v>5045471.290000001</v>
      </c>
    </row>
    <row r="56" spans="1:22" ht="28" x14ac:dyDescent="0.35">
      <c r="A56" s="19">
        <v>4</v>
      </c>
      <c r="B56" s="19" t="str">
        <f>Source!F36</f>
        <v>5.3-1101-13-1/1</v>
      </c>
      <c r="C56" s="19" t="str">
        <f>Source!G36</f>
        <v>Подметание вручную дорожек и площадок с твердым покрытием</v>
      </c>
      <c r="D56" s="20" t="str">
        <f>Source!H36</f>
        <v>100 м2</v>
      </c>
      <c r="E56" s="8">
        <f>Source!I36</f>
        <v>327.47359999999998</v>
      </c>
      <c r="F56" s="22"/>
      <c r="G56" s="21"/>
      <c r="H56" s="8"/>
      <c r="I56" s="8"/>
      <c r="J56" s="22"/>
      <c r="K56" s="22"/>
      <c r="Q56">
        <f>ROUND((Source!BZ36/100)*ROUND((Source!AF36*Source!AV36)*Source!I36, 2), 2)</f>
        <v>799834.62</v>
      </c>
      <c r="R56">
        <f>Source!X36</f>
        <v>799834.62</v>
      </c>
      <c r="S56">
        <f>ROUND((Source!CA36/100)*ROUND((Source!AF36*Source!AV36)*Source!I36, 2), 2)</f>
        <v>114262.09</v>
      </c>
      <c r="T56">
        <f>Source!Y36</f>
        <v>114262.09</v>
      </c>
      <c r="U56">
        <f>ROUND((175/100)*ROUND((Source!AE36*Source!AV36)*Source!I36, 2), 2)</f>
        <v>0</v>
      </c>
      <c r="V56">
        <f>ROUND((108/100)*ROUND(Source!CS36*Source!I36, 2), 2)</f>
        <v>0</v>
      </c>
    </row>
    <row r="57" spans="1:22" ht="14.5" x14ac:dyDescent="0.35">
      <c r="A57" s="19"/>
      <c r="B57" s="19"/>
      <c r="C57" s="19" t="s">
        <v>226</v>
      </c>
      <c r="D57" s="20"/>
      <c r="E57" s="8"/>
      <c r="F57" s="22">
        <f>Source!AO36</f>
        <v>63.44</v>
      </c>
      <c r="G57" s="21" t="str">
        <f>Source!DG36</f>
        <v>)*55</v>
      </c>
      <c r="H57" s="8">
        <f>Source!AV36</f>
        <v>1</v>
      </c>
      <c r="I57" s="8">
        <f>IF(Source!BA36&lt;&gt; 0, Source!BA36, 1)</f>
        <v>1</v>
      </c>
      <c r="J57" s="22">
        <f>Source!S36</f>
        <v>1142620.8899999999</v>
      </c>
      <c r="K57" s="22"/>
    </row>
    <row r="58" spans="1:22" ht="14.5" x14ac:dyDescent="0.35">
      <c r="A58" s="19"/>
      <c r="B58" s="19"/>
      <c r="C58" s="19" t="s">
        <v>227</v>
      </c>
      <c r="D58" s="20" t="s">
        <v>225</v>
      </c>
      <c r="E58" s="8">
        <f>Source!AT36</f>
        <v>70</v>
      </c>
      <c r="F58" s="22"/>
      <c r="G58" s="21"/>
      <c r="H58" s="8"/>
      <c r="I58" s="8"/>
      <c r="J58" s="22">
        <f>SUM(R56:R57)</f>
        <v>799834.62</v>
      </c>
      <c r="K58" s="22"/>
    </row>
    <row r="59" spans="1:22" ht="14.5" x14ac:dyDescent="0.35">
      <c r="A59" s="19"/>
      <c r="B59" s="19"/>
      <c r="C59" s="19" t="s">
        <v>228</v>
      </c>
      <c r="D59" s="20" t="s">
        <v>225</v>
      </c>
      <c r="E59" s="8">
        <f>Source!AU36</f>
        <v>10</v>
      </c>
      <c r="F59" s="22"/>
      <c r="G59" s="21"/>
      <c r="H59" s="8"/>
      <c r="I59" s="8"/>
      <c r="J59" s="22">
        <f>SUM(T56:T58)</f>
        <v>114262.09</v>
      </c>
      <c r="K59" s="22"/>
    </row>
    <row r="60" spans="1:22" ht="14.5" x14ac:dyDescent="0.35">
      <c r="A60" s="19"/>
      <c r="B60" s="19"/>
      <c r="C60" s="19" t="s">
        <v>229</v>
      </c>
      <c r="D60" s="20" t="s">
        <v>230</v>
      </c>
      <c r="E60" s="8">
        <f>Source!AQ36</f>
        <v>0.14000000000000001</v>
      </c>
      <c r="F60" s="22"/>
      <c r="G60" s="21" t="str">
        <f>Source!DI36</f>
        <v>)*55</v>
      </c>
      <c r="H60" s="8">
        <f>Source!AV36</f>
        <v>1</v>
      </c>
      <c r="I60" s="8"/>
      <c r="J60" s="22"/>
      <c r="K60" s="22">
        <f>Source!U36</f>
        <v>2521.5467200000003</v>
      </c>
    </row>
    <row r="61" spans="1:22" ht="14" x14ac:dyDescent="0.3">
      <c r="A61" s="26"/>
      <c r="B61" s="26"/>
      <c r="C61" s="26"/>
      <c r="D61" s="26"/>
      <c r="E61" s="26"/>
      <c r="F61" s="26"/>
      <c r="G61" s="26"/>
      <c r="H61" s="26"/>
      <c r="I61" s="51">
        <f>J57+J58+J59</f>
        <v>2056717.5999999999</v>
      </c>
      <c r="J61" s="51"/>
      <c r="K61" s="27">
        <f>IF(Source!I36&lt;&gt;0, ROUND(I61/Source!I36, 2), 0)</f>
        <v>6280.56</v>
      </c>
      <c r="P61" s="24">
        <f>I61</f>
        <v>2056717.5999999999</v>
      </c>
    </row>
    <row r="62" spans="1:22" ht="42" x14ac:dyDescent="0.35">
      <c r="A62" s="19">
        <v>5</v>
      </c>
      <c r="B62" s="19" t="str">
        <f>Source!F37</f>
        <v>5.3-1101-13-2/1</v>
      </c>
      <c r="C62" s="19" t="str">
        <f>Source!G37</f>
        <v>Подметание вручную дорожек и площадок с грунтовым и щебеночным покрытием</v>
      </c>
      <c r="D62" s="20" t="str">
        <f>Source!H37</f>
        <v>100 м2</v>
      </c>
      <c r="E62" s="8">
        <f>Source!I37</f>
        <v>128.0806</v>
      </c>
      <c r="F62" s="22"/>
      <c r="G62" s="21"/>
      <c r="H62" s="8"/>
      <c r="I62" s="8"/>
      <c r="J62" s="22"/>
      <c r="K62" s="22"/>
      <c r="Q62">
        <f>ROUND((Source!BZ37/100)*ROUND((Source!AF37*Source!AV37)*Source!I37, 2), 2)</f>
        <v>536257.46</v>
      </c>
      <c r="R62">
        <f>Source!X37</f>
        <v>536257.46</v>
      </c>
      <c r="S62">
        <f>ROUND((Source!CA37/100)*ROUND((Source!AF37*Source!AV37)*Source!I37, 2), 2)</f>
        <v>76608.210000000006</v>
      </c>
      <c r="T62">
        <f>Source!Y37</f>
        <v>76608.210000000006</v>
      </c>
      <c r="U62">
        <f>ROUND((175/100)*ROUND((Source!AE37*Source!AV37)*Source!I37, 2), 2)</f>
        <v>0</v>
      </c>
      <c r="V62">
        <f>ROUND((108/100)*ROUND(Source!CS37*Source!I37, 2), 2)</f>
        <v>0</v>
      </c>
    </row>
    <row r="63" spans="1:22" ht="14.5" x14ac:dyDescent="0.35">
      <c r="A63" s="19"/>
      <c r="B63" s="19"/>
      <c r="C63" s="19" t="s">
        <v>226</v>
      </c>
      <c r="D63" s="20"/>
      <c r="E63" s="8"/>
      <c r="F63" s="22">
        <f>Source!AO37</f>
        <v>108.75</v>
      </c>
      <c r="G63" s="21" t="str">
        <f>Source!DG37</f>
        <v>)*55</v>
      </c>
      <c r="H63" s="8">
        <f>Source!AV37</f>
        <v>1</v>
      </c>
      <c r="I63" s="8">
        <f>IF(Source!BA37&lt;&gt; 0, Source!BA37, 1)</f>
        <v>1</v>
      </c>
      <c r="J63" s="22">
        <f>Source!S37</f>
        <v>766082.09</v>
      </c>
      <c r="K63" s="22"/>
    </row>
    <row r="64" spans="1:22" ht="14.5" x14ac:dyDescent="0.35">
      <c r="A64" s="19"/>
      <c r="B64" s="19"/>
      <c r="C64" s="19" t="s">
        <v>227</v>
      </c>
      <c r="D64" s="20" t="s">
        <v>225</v>
      </c>
      <c r="E64" s="8">
        <f>Source!AT37</f>
        <v>70</v>
      </c>
      <c r="F64" s="22"/>
      <c r="G64" s="21"/>
      <c r="H64" s="8"/>
      <c r="I64" s="8"/>
      <c r="J64" s="22">
        <f>SUM(R62:R63)</f>
        <v>536257.46</v>
      </c>
      <c r="K64" s="22"/>
    </row>
    <row r="65" spans="1:22" ht="14.5" x14ac:dyDescent="0.35">
      <c r="A65" s="19"/>
      <c r="B65" s="19"/>
      <c r="C65" s="19" t="s">
        <v>228</v>
      </c>
      <c r="D65" s="20" t="s">
        <v>225</v>
      </c>
      <c r="E65" s="8">
        <f>Source!AU37</f>
        <v>10</v>
      </c>
      <c r="F65" s="22"/>
      <c r="G65" s="21"/>
      <c r="H65" s="8"/>
      <c r="I65" s="8"/>
      <c r="J65" s="22">
        <f>SUM(T62:T64)</f>
        <v>76608.210000000006</v>
      </c>
      <c r="K65" s="22"/>
    </row>
    <row r="66" spans="1:22" ht="14.5" x14ac:dyDescent="0.35">
      <c r="A66" s="19"/>
      <c r="B66" s="19"/>
      <c r="C66" s="19" t="s">
        <v>229</v>
      </c>
      <c r="D66" s="20" t="s">
        <v>230</v>
      </c>
      <c r="E66" s="8">
        <f>Source!AQ37</f>
        <v>0.24</v>
      </c>
      <c r="F66" s="22"/>
      <c r="G66" s="21" t="str">
        <f>Source!DI37</f>
        <v>)*55</v>
      </c>
      <c r="H66" s="8">
        <f>Source!AV37</f>
        <v>1</v>
      </c>
      <c r="I66" s="8"/>
      <c r="J66" s="22"/>
      <c r="K66" s="22">
        <f>Source!U37</f>
        <v>1690.66392</v>
      </c>
    </row>
    <row r="67" spans="1:22" ht="14" x14ac:dyDescent="0.3">
      <c r="A67" s="26"/>
      <c r="B67" s="26"/>
      <c r="C67" s="26"/>
      <c r="D67" s="26"/>
      <c r="E67" s="26"/>
      <c r="F67" s="26"/>
      <c r="G67" s="26"/>
      <c r="H67" s="26"/>
      <c r="I67" s="51">
        <f>J63+J64+J65</f>
        <v>1378947.7599999998</v>
      </c>
      <c r="J67" s="51"/>
      <c r="K67" s="27">
        <f>IF(Source!I37&lt;&gt;0, ROUND(I67/Source!I37, 2), 0)</f>
        <v>10766.25</v>
      </c>
      <c r="P67" s="24">
        <f>I67</f>
        <v>1378947.7599999998</v>
      </c>
    </row>
    <row r="68" spans="1:22" ht="42" x14ac:dyDescent="0.35">
      <c r="A68" s="19">
        <v>6</v>
      </c>
      <c r="B68" s="19" t="str">
        <f>Source!F38</f>
        <v>5.3-1102-10-3/1</v>
      </c>
      <c r="C68" s="19" t="str">
        <f>Source!G38</f>
        <v>Посыпка противогололедными реагентами ХКНтв дорожных покрытий вручную</v>
      </c>
      <c r="D68" s="20" t="str">
        <f>Source!H38</f>
        <v>100 м2</v>
      </c>
      <c r="E68" s="8">
        <f>Source!I38</f>
        <v>327.47359999999998</v>
      </c>
      <c r="F68" s="22"/>
      <c r="G68" s="21"/>
      <c r="H68" s="8"/>
      <c r="I68" s="8"/>
      <c r="J68" s="22"/>
      <c r="K68" s="22"/>
      <c r="Q68">
        <f>ROUND((Source!BZ38/100)*ROUND((Source!AF38*Source!AV38)*Source!I38, 2), 2)</f>
        <v>623234.65</v>
      </c>
      <c r="R68">
        <f>Source!X38</f>
        <v>623234.65</v>
      </c>
      <c r="S68">
        <f>ROUND((Source!CA38/100)*ROUND((Source!AF38*Source!AV38)*Source!I38, 2), 2)</f>
        <v>89033.52</v>
      </c>
      <c r="T68">
        <f>Source!Y38</f>
        <v>89033.52</v>
      </c>
      <c r="U68">
        <f>ROUND((175/100)*ROUND((Source!AE38*Source!AV38)*Source!I38, 2), 2)</f>
        <v>0</v>
      </c>
      <c r="V68">
        <f>ROUND((108/100)*ROUND(Source!CS38*Source!I38, 2), 2)</f>
        <v>0</v>
      </c>
    </row>
    <row r="69" spans="1:22" ht="14.5" x14ac:dyDescent="0.35">
      <c r="A69" s="19"/>
      <c r="B69" s="19"/>
      <c r="C69" s="19" t="s">
        <v>226</v>
      </c>
      <c r="D69" s="20"/>
      <c r="E69" s="8"/>
      <c r="F69" s="22">
        <f>Source!AO38</f>
        <v>135.94</v>
      </c>
      <c r="G69" s="21" t="str">
        <f>Source!DG38</f>
        <v>)*20</v>
      </c>
      <c r="H69" s="8">
        <f>Source!AV38</f>
        <v>1</v>
      </c>
      <c r="I69" s="8">
        <f>IF(Source!BA38&lt;&gt; 0, Source!BA38, 1)</f>
        <v>1</v>
      </c>
      <c r="J69" s="22">
        <f>Source!S38</f>
        <v>890335.22</v>
      </c>
      <c r="K69" s="22"/>
    </row>
    <row r="70" spans="1:22" ht="14.5" x14ac:dyDescent="0.35">
      <c r="A70" s="19"/>
      <c r="B70" s="19"/>
      <c r="C70" s="19" t="s">
        <v>231</v>
      </c>
      <c r="D70" s="20"/>
      <c r="E70" s="8"/>
      <c r="F70" s="22">
        <f>Source!AL38</f>
        <v>136.5</v>
      </c>
      <c r="G70" s="21" t="str">
        <f>Source!DD38</f>
        <v>)*20</v>
      </c>
      <c r="H70" s="8">
        <f>Source!AW38</f>
        <v>1</v>
      </c>
      <c r="I70" s="8">
        <f>IF(Source!BC38&lt;&gt; 0, Source!BC38, 1)</f>
        <v>1</v>
      </c>
      <c r="J70" s="22">
        <f>Source!P38</f>
        <v>894002.93</v>
      </c>
      <c r="K70" s="22"/>
    </row>
    <row r="71" spans="1:22" ht="14.5" x14ac:dyDescent="0.35">
      <c r="A71" s="19"/>
      <c r="B71" s="19"/>
      <c r="C71" s="19" t="s">
        <v>227</v>
      </c>
      <c r="D71" s="20" t="s">
        <v>225</v>
      </c>
      <c r="E71" s="8">
        <f>Source!AT38</f>
        <v>70</v>
      </c>
      <c r="F71" s="22"/>
      <c r="G71" s="21"/>
      <c r="H71" s="8"/>
      <c r="I71" s="8"/>
      <c r="J71" s="22">
        <f>SUM(R68:R70)</f>
        <v>623234.65</v>
      </c>
      <c r="K71" s="22"/>
    </row>
    <row r="72" spans="1:22" ht="14.5" x14ac:dyDescent="0.35">
      <c r="A72" s="19"/>
      <c r="B72" s="19"/>
      <c r="C72" s="19" t="s">
        <v>228</v>
      </c>
      <c r="D72" s="20" t="s">
        <v>225</v>
      </c>
      <c r="E72" s="8">
        <f>Source!AU38</f>
        <v>10</v>
      </c>
      <c r="F72" s="22"/>
      <c r="G72" s="21"/>
      <c r="H72" s="8"/>
      <c r="I72" s="8"/>
      <c r="J72" s="22">
        <f>SUM(T68:T71)</f>
        <v>89033.52</v>
      </c>
      <c r="K72" s="22"/>
    </row>
    <row r="73" spans="1:22" ht="14.5" x14ac:dyDescent="0.35">
      <c r="A73" s="19"/>
      <c r="B73" s="19"/>
      <c r="C73" s="19" t="s">
        <v>229</v>
      </c>
      <c r="D73" s="20" t="s">
        <v>230</v>
      </c>
      <c r="E73" s="8">
        <f>Source!AQ38</f>
        <v>0.3</v>
      </c>
      <c r="F73" s="22"/>
      <c r="G73" s="21" t="str">
        <f>Source!DI38</f>
        <v>)*20</v>
      </c>
      <c r="H73" s="8">
        <f>Source!AV38</f>
        <v>1</v>
      </c>
      <c r="I73" s="8"/>
      <c r="J73" s="22"/>
      <c r="K73" s="22">
        <f>Source!U38</f>
        <v>1964.8415999999997</v>
      </c>
    </row>
    <row r="74" spans="1:22" ht="14" x14ac:dyDescent="0.3">
      <c r="A74" s="26"/>
      <c r="B74" s="26"/>
      <c r="C74" s="26"/>
      <c r="D74" s="26"/>
      <c r="E74" s="26"/>
      <c r="F74" s="26"/>
      <c r="G74" s="26"/>
      <c r="H74" s="26"/>
      <c r="I74" s="51">
        <f>J69+J70+J71+J72</f>
        <v>2496606.3199999998</v>
      </c>
      <c r="J74" s="51"/>
      <c r="K74" s="27">
        <f>IF(Source!I38&lt;&gt;0, ROUND(I74/Source!I38, 2), 0)</f>
        <v>7623.84</v>
      </c>
      <c r="P74" s="24">
        <f>I74</f>
        <v>2496606.3199999998</v>
      </c>
    </row>
    <row r="75" spans="1:22" ht="42" x14ac:dyDescent="0.35">
      <c r="A75" s="19">
        <v>7</v>
      </c>
      <c r="B75" s="19" t="str">
        <f>Source!F39</f>
        <v>5.3-1102-13-3/1</v>
      </c>
      <c r="C75" s="19" t="str">
        <f>Source!G39</f>
        <v>Посыпка противогололедными реагентами дорожных покрытий средствами малой механизации</v>
      </c>
      <c r="D75" s="20" t="str">
        <f>Source!H39</f>
        <v>1000 м2</v>
      </c>
      <c r="E75" s="8">
        <f>Source!I39</f>
        <v>130.98945000000001</v>
      </c>
      <c r="F75" s="22"/>
      <c r="G75" s="21"/>
      <c r="H75" s="8"/>
      <c r="I75" s="8"/>
      <c r="J75" s="22"/>
      <c r="K75" s="22"/>
      <c r="Q75">
        <f>ROUND((Source!BZ39/100)*ROUND((Source!AF39*Source!AV39)*Source!I39, 2), 2)</f>
        <v>16614.7</v>
      </c>
      <c r="R75">
        <f>Source!X39</f>
        <v>16614.7</v>
      </c>
      <c r="S75">
        <f>ROUND((Source!CA39/100)*ROUND((Source!AF39*Source!AV39)*Source!I39, 2), 2)</f>
        <v>2373.5300000000002</v>
      </c>
      <c r="T75">
        <f>Source!Y39</f>
        <v>2373.5300000000002</v>
      </c>
      <c r="U75">
        <f>ROUND((175/100)*ROUND((Source!AE39*Source!AV39)*Source!I39, 2), 2)</f>
        <v>307674.57</v>
      </c>
      <c r="V75">
        <f>ROUND((108/100)*ROUND(Source!CS39*Source!I39, 2), 2)</f>
        <v>189879.16</v>
      </c>
    </row>
    <row r="76" spans="1:22" ht="14.5" x14ac:dyDescent="0.35">
      <c r="A76" s="19"/>
      <c r="B76" s="19"/>
      <c r="C76" s="19" t="s">
        <v>226</v>
      </c>
      <c r="D76" s="20"/>
      <c r="E76" s="8"/>
      <c r="F76" s="22">
        <f>Source!AO39</f>
        <v>9.06</v>
      </c>
      <c r="G76" s="21" t="str">
        <f>Source!DG39</f>
        <v>)*20</v>
      </c>
      <c r="H76" s="8">
        <f>Source!AV39</f>
        <v>1</v>
      </c>
      <c r="I76" s="8">
        <f>IF(Source!BA39&lt;&gt; 0, Source!BA39, 1)</f>
        <v>1</v>
      </c>
      <c r="J76" s="22">
        <f>Source!S39</f>
        <v>23735.29</v>
      </c>
      <c r="K76" s="22"/>
    </row>
    <row r="77" spans="1:22" ht="14.5" x14ac:dyDescent="0.35">
      <c r="A77" s="19"/>
      <c r="B77" s="19"/>
      <c r="C77" s="19" t="s">
        <v>222</v>
      </c>
      <c r="D77" s="20"/>
      <c r="E77" s="8"/>
      <c r="F77" s="22">
        <f>Source!AM39</f>
        <v>159.06</v>
      </c>
      <c r="G77" s="21" t="str">
        <f>Source!DE39</f>
        <v>)*20</v>
      </c>
      <c r="H77" s="8">
        <f>Source!AV39</f>
        <v>1</v>
      </c>
      <c r="I77" s="8">
        <f>IF(Source!BB39&lt;&gt; 0, Source!BB39, 1)</f>
        <v>1</v>
      </c>
      <c r="J77" s="22">
        <f>Source!Q39</f>
        <v>416703.64</v>
      </c>
      <c r="K77" s="22"/>
    </row>
    <row r="78" spans="1:22" ht="14.5" x14ac:dyDescent="0.35">
      <c r="A78" s="19"/>
      <c r="B78" s="19"/>
      <c r="C78" s="19" t="s">
        <v>223</v>
      </c>
      <c r="D78" s="20"/>
      <c r="E78" s="8"/>
      <c r="F78" s="22">
        <f>Source!AN39</f>
        <v>67.11</v>
      </c>
      <c r="G78" s="21" t="str">
        <f>Source!DF39</f>
        <v>)*20</v>
      </c>
      <c r="H78" s="8">
        <f>Source!AV39</f>
        <v>1</v>
      </c>
      <c r="I78" s="8">
        <f>IF(Source!BS39&lt;&gt; 0, Source!BS39, 1)</f>
        <v>1</v>
      </c>
      <c r="J78" s="23">
        <f>Source!R39</f>
        <v>175814.04</v>
      </c>
      <c r="K78" s="22"/>
    </row>
    <row r="79" spans="1:22" ht="14.5" x14ac:dyDescent="0.35">
      <c r="A79" s="19"/>
      <c r="B79" s="19"/>
      <c r="C79" s="19" t="s">
        <v>231</v>
      </c>
      <c r="D79" s="20"/>
      <c r="E79" s="8"/>
      <c r="F79" s="22">
        <f>Source!AL39</f>
        <v>1365</v>
      </c>
      <c r="G79" s="21" t="str">
        <f>Source!DD39</f>
        <v>)*20</v>
      </c>
      <c r="H79" s="8">
        <f>Source!AW39</f>
        <v>1</v>
      </c>
      <c r="I79" s="8">
        <f>IF(Source!BC39&lt;&gt; 0, Source!BC39, 1)</f>
        <v>1</v>
      </c>
      <c r="J79" s="22">
        <f>Source!P39</f>
        <v>3576011.99</v>
      </c>
      <c r="K79" s="22"/>
    </row>
    <row r="80" spans="1:22" ht="14.5" x14ac:dyDescent="0.35">
      <c r="A80" s="19"/>
      <c r="B80" s="19"/>
      <c r="C80" s="19" t="s">
        <v>227</v>
      </c>
      <c r="D80" s="20" t="s">
        <v>225</v>
      </c>
      <c r="E80" s="8">
        <f>Source!AT39</f>
        <v>70</v>
      </c>
      <c r="F80" s="22"/>
      <c r="G80" s="21"/>
      <c r="H80" s="8"/>
      <c r="I80" s="8"/>
      <c r="J80" s="22">
        <f>SUM(R75:R79)</f>
        <v>16614.7</v>
      </c>
      <c r="K80" s="22"/>
    </row>
    <row r="81" spans="1:22" ht="14.5" x14ac:dyDescent="0.35">
      <c r="A81" s="19"/>
      <c r="B81" s="19"/>
      <c r="C81" s="19" t="s">
        <v>228</v>
      </c>
      <c r="D81" s="20" t="s">
        <v>225</v>
      </c>
      <c r="E81" s="8">
        <f>Source!AU39</f>
        <v>10</v>
      </c>
      <c r="F81" s="22"/>
      <c r="G81" s="21"/>
      <c r="H81" s="8"/>
      <c r="I81" s="8"/>
      <c r="J81" s="22">
        <f>SUM(T75:T80)</f>
        <v>2373.5300000000002</v>
      </c>
      <c r="K81" s="22"/>
    </row>
    <row r="82" spans="1:22" ht="14.5" x14ac:dyDescent="0.35">
      <c r="A82" s="19"/>
      <c r="B82" s="19"/>
      <c r="C82" s="19" t="s">
        <v>224</v>
      </c>
      <c r="D82" s="20" t="s">
        <v>225</v>
      </c>
      <c r="E82" s="8">
        <f>108</f>
        <v>108</v>
      </c>
      <c r="F82" s="22"/>
      <c r="G82" s="21"/>
      <c r="H82" s="8"/>
      <c r="I82" s="8"/>
      <c r="J82" s="22">
        <f>SUM(V75:V81)</f>
        <v>189879.16</v>
      </c>
      <c r="K82" s="22"/>
    </row>
    <row r="83" spans="1:22" ht="14.5" x14ac:dyDescent="0.35">
      <c r="A83" s="19"/>
      <c r="B83" s="19"/>
      <c r="C83" s="19" t="s">
        <v>229</v>
      </c>
      <c r="D83" s="20" t="s">
        <v>230</v>
      </c>
      <c r="E83" s="8">
        <f>Source!AQ39</f>
        <v>0.02</v>
      </c>
      <c r="F83" s="22"/>
      <c r="G83" s="21" t="str">
        <f>Source!DI39</f>
        <v>)*20</v>
      </c>
      <c r="H83" s="8">
        <f>Source!AV39</f>
        <v>1</v>
      </c>
      <c r="I83" s="8"/>
      <c r="J83" s="22"/>
      <c r="K83" s="22">
        <f>Source!U39</f>
        <v>52.395780000000002</v>
      </c>
    </row>
    <row r="84" spans="1:22" ht="14" x14ac:dyDescent="0.3">
      <c r="A84" s="26"/>
      <c r="B84" s="26"/>
      <c r="C84" s="26"/>
      <c r="D84" s="26"/>
      <c r="E84" s="26"/>
      <c r="F84" s="26"/>
      <c r="G84" s="26"/>
      <c r="H84" s="26"/>
      <c r="I84" s="51">
        <f>J76+J77+J79+J80+J81+J82</f>
        <v>4225318.3100000005</v>
      </c>
      <c r="J84" s="51"/>
      <c r="K84" s="27">
        <f>IF(Source!I39&lt;&gt;0, ROUND(I84/Source!I39, 2), 0)</f>
        <v>32256.94</v>
      </c>
      <c r="P84" s="24">
        <f>I84</f>
        <v>4225318.3100000005</v>
      </c>
    </row>
    <row r="85" spans="1:22" ht="28" x14ac:dyDescent="0.35">
      <c r="A85" s="19">
        <v>8</v>
      </c>
      <c r="B85" s="19" t="str">
        <f>Source!F40</f>
        <v>5.3-1102-9-1/1</v>
      </c>
      <c r="C85" s="19" t="str">
        <f>Source!G40</f>
        <v>Колка льда на обледеневших покрытиях вручную</v>
      </c>
      <c r="D85" s="20" t="str">
        <f>Source!H40</f>
        <v>100 м2</v>
      </c>
      <c r="E85" s="8">
        <f>Source!I40</f>
        <v>13.8942</v>
      </c>
      <c r="F85" s="22"/>
      <c r="G85" s="21"/>
      <c r="H85" s="8"/>
      <c r="I85" s="8"/>
      <c r="J85" s="22"/>
      <c r="K85" s="22"/>
      <c r="Q85">
        <f>ROUND((Source!BZ40/100)*ROUND((Source!AF40*Source!AV40)*Source!I40, 2), 2)</f>
        <v>106214.07</v>
      </c>
      <c r="R85">
        <f>Source!X40</f>
        <v>106214.07</v>
      </c>
      <c r="S85">
        <f>ROUND((Source!CA40/100)*ROUND((Source!AF40*Source!AV40)*Source!I40, 2), 2)</f>
        <v>15173.44</v>
      </c>
      <c r="T85">
        <f>Source!Y40</f>
        <v>15173.44</v>
      </c>
      <c r="U85">
        <f>ROUND((175/100)*ROUND((Source!AE40*Source!AV40)*Source!I40, 2), 2)</f>
        <v>0</v>
      </c>
      <c r="V85">
        <f>ROUND((108/100)*ROUND(Source!CS40*Source!I40, 2), 2)</f>
        <v>0</v>
      </c>
    </row>
    <row r="86" spans="1:22" ht="14.5" x14ac:dyDescent="0.35">
      <c r="A86" s="19"/>
      <c r="B86" s="19"/>
      <c r="C86" s="19" t="s">
        <v>226</v>
      </c>
      <c r="D86" s="20"/>
      <c r="E86" s="8"/>
      <c r="F86" s="22">
        <f>Source!AO40</f>
        <v>1092.07</v>
      </c>
      <c r="G86" s="21" t="str">
        <f>Source!DG40</f>
        <v>)*10</v>
      </c>
      <c r="H86" s="8">
        <f>Source!AV40</f>
        <v>1</v>
      </c>
      <c r="I86" s="8">
        <f>IF(Source!BA40&lt;&gt; 0, Source!BA40, 1)</f>
        <v>1</v>
      </c>
      <c r="J86" s="22">
        <f>Source!S40</f>
        <v>151734.39000000001</v>
      </c>
      <c r="K86" s="22"/>
    </row>
    <row r="87" spans="1:22" ht="14.5" x14ac:dyDescent="0.35">
      <c r="A87" s="19"/>
      <c r="B87" s="19"/>
      <c r="C87" s="19" t="s">
        <v>227</v>
      </c>
      <c r="D87" s="20" t="s">
        <v>225</v>
      </c>
      <c r="E87" s="8">
        <f>Source!AT40</f>
        <v>70</v>
      </c>
      <c r="F87" s="22"/>
      <c r="G87" s="21"/>
      <c r="H87" s="8"/>
      <c r="I87" s="8"/>
      <c r="J87" s="22">
        <f>SUM(R85:R86)</f>
        <v>106214.07</v>
      </c>
      <c r="K87" s="22"/>
    </row>
    <row r="88" spans="1:22" ht="14.5" x14ac:dyDescent="0.35">
      <c r="A88" s="19"/>
      <c r="B88" s="19"/>
      <c r="C88" s="19" t="s">
        <v>228</v>
      </c>
      <c r="D88" s="20" t="s">
        <v>225</v>
      </c>
      <c r="E88" s="8">
        <f>Source!AU40</f>
        <v>10</v>
      </c>
      <c r="F88" s="22"/>
      <c r="G88" s="21"/>
      <c r="H88" s="8"/>
      <c r="I88" s="8"/>
      <c r="J88" s="22">
        <f>SUM(T85:T87)</f>
        <v>15173.44</v>
      </c>
      <c r="K88" s="22"/>
    </row>
    <row r="89" spans="1:22" ht="14.5" x14ac:dyDescent="0.35">
      <c r="A89" s="19"/>
      <c r="B89" s="19"/>
      <c r="C89" s="19" t="s">
        <v>229</v>
      </c>
      <c r="D89" s="20" t="s">
        <v>230</v>
      </c>
      <c r="E89" s="8">
        <f>Source!AQ40</f>
        <v>2.41</v>
      </c>
      <c r="F89" s="22"/>
      <c r="G89" s="21" t="str">
        <f>Source!DI40</f>
        <v>)*10</v>
      </c>
      <c r="H89" s="8">
        <f>Source!AV40</f>
        <v>1</v>
      </c>
      <c r="I89" s="8"/>
      <c r="J89" s="22"/>
      <c r="K89" s="22">
        <f>Source!U40</f>
        <v>334.85022000000004</v>
      </c>
    </row>
    <row r="90" spans="1:22" ht="14" x14ac:dyDescent="0.3">
      <c r="A90" s="26"/>
      <c r="B90" s="26"/>
      <c r="C90" s="26"/>
      <c r="D90" s="26"/>
      <c r="E90" s="26"/>
      <c r="F90" s="26"/>
      <c r="G90" s="26"/>
      <c r="H90" s="26"/>
      <c r="I90" s="51">
        <f>J86+J87+J88</f>
        <v>273121.90000000002</v>
      </c>
      <c r="J90" s="51"/>
      <c r="K90" s="27">
        <f>IF(Source!I40&lt;&gt;0, ROUND(I90/Source!I40, 2), 0)</f>
        <v>19657.259999999998</v>
      </c>
      <c r="P90" s="24">
        <f>I90</f>
        <v>273121.90000000002</v>
      </c>
    </row>
    <row r="91" spans="1:22" ht="84" x14ac:dyDescent="0.35">
      <c r="A91" s="19">
        <v>9</v>
      </c>
      <c r="B91" s="19" t="str">
        <f>Source!F41</f>
        <v>5.3-1102-25-1/1</v>
      </c>
      <c r="C91" s="19" t="str">
        <f>Source!G41</f>
        <v>Сбор и перемещение снега и скола к месту временного размещения механизированным способом, объем ковша погрузчика до 0,5 м3 - перемещение на 250 м (=163736,81*80%)*0,6*0,3</v>
      </c>
      <c r="D91" s="20" t="str">
        <f>Source!H41</f>
        <v>м3</v>
      </c>
      <c r="E91" s="8">
        <f>Source!I41</f>
        <v>23578</v>
      </c>
      <c r="F91" s="22"/>
      <c r="G91" s="21"/>
      <c r="H91" s="8"/>
      <c r="I91" s="8"/>
      <c r="J91" s="22"/>
      <c r="K91" s="22"/>
      <c r="Q91">
        <f>ROUND((Source!BZ41/100)*ROUND((Source!AF41*Source!AV41)*Source!I41, 2), 2)</f>
        <v>2767161.24</v>
      </c>
      <c r="R91">
        <f>Source!X41</f>
        <v>2767161.24</v>
      </c>
      <c r="S91">
        <f>ROUND((Source!CA41/100)*ROUND((Source!AF41*Source!AV41)*Source!I41, 2), 2)</f>
        <v>395308.75</v>
      </c>
      <c r="T91">
        <f>Source!Y41</f>
        <v>395308.75</v>
      </c>
      <c r="U91">
        <f>ROUND((175/100)*ROUND((Source!AE41*Source!AV41)*Source!I41, 2), 2)</f>
        <v>14431622.24</v>
      </c>
      <c r="V91">
        <f>ROUND((108/100)*ROUND(Source!CS41*Source!I41, 2), 2)</f>
        <v>8906372.5800000001</v>
      </c>
    </row>
    <row r="92" spans="1:22" ht="14.5" x14ac:dyDescent="0.35">
      <c r="A92" s="19"/>
      <c r="B92" s="19"/>
      <c r="C92" s="19" t="s">
        <v>226</v>
      </c>
      <c r="D92" s="20"/>
      <c r="E92" s="8"/>
      <c r="F92" s="22">
        <f>Source!AO41</f>
        <v>167.66</v>
      </c>
      <c r="G92" s="21" t="str">
        <f>Source!DG41</f>
        <v/>
      </c>
      <c r="H92" s="8">
        <f>Source!AV41</f>
        <v>1</v>
      </c>
      <c r="I92" s="8">
        <f>IF(Source!BA41&lt;&gt; 0, Source!BA41, 1)</f>
        <v>1</v>
      </c>
      <c r="J92" s="22">
        <f>Source!S41</f>
        <v>3953087.48</v>
      </c>
      <c r="K92" s="22"/>
    </row>
    <row r="93" spans="1:22" ht="14.5" x14ac:dyDescent="0.35">
      <c r="A93" s="19"/>
      <c r="B93" s="19"/>
      <c r="C93" s="19" t="s">
        <v>222</v>
      </c>
      <c r="D93" s="20"/>
      <c r="E93" s="8"/>
      <c r="F93" s="22">
        <f>Source!AM41</f>
        <v>713</v>
      </c>
      <c r="G93" s="21" t="str">
        <f>Source!DE41</f>
        <v/>
      </c>
      <c r="H93" s="8">
        <f>Source!AV41</f>
        <v>1</v>
      </c>
      <c r="I93" s="8">
        <f>IF(Source!BB41&lt;&gt; 0, Source!BB41, 1)</f>
        <v>1</v>
      </c>
      <c r="J93" s="22">
        <f>Source!Q41</f>
        <v>16811114</v>
      </c>
      <c r="K93" s="22"/>
    </row>
    <row r="94" spans="1:22" ht="14.5" x14ac:dyDescent="0.35">
      <c r="A94" s="19"/>
      <c r="B94" s="19"/>
      <c r="C94" s="19" t="s">
        <v>223</v>
      </c>
      <c r="D94" s="20"/>
      <c r="E94" s="8"/>
      <c r="F94" s="22">
        <f>Source!AN41</f>
        <v>349.76</v>
      </c>
      <c r="G94" s="21" t="str">
        <f>Source!DF41</f>
        <v/>
      </c>
      <c r="H94" s="8">
        <f>Source!AV41</f>
        <v>1</v>
      </c>
      <c r="I94" s="8">
        <f>IF(Source!BS41&lt;&gt; 0, Source!BS41, 1)</f>
        <v>1</v>
      </c>
      <c r="J94" s="23">
        <f>Source!R41</f>
        <v>8246641.2800000003</v>
      </c>
      <c r="K94" s="22"/>
    </row>
    <row r="95" spans="1:22" ht="14.5" x14ac:dyDescent="0.35">
      <c r="A95" s="19"/>
      <c r="B95" s="19"/>
      <c r="C95" s="19" t="s">
        <v>227</v>
      </c>
      <c r="D95" s="20" t="s">
        <v>225</v>
      </c>
      <c r="E95" s="8">
        <f>Source!AT41</f>
        <v>70</v>
      </c>
      <c r="F95" s="22"/>
      <c r="G95" s="21"/>
      <c r="H95" s="8"/>
      <c r="I95" s="8"/>
      <c r="J95" s="22">
        <f>SUM(R91:R94)</f>
        <v>2767161.24</v>
      </c>
      <c r="K95" s="22"/>
    </row>
    <row r="96" spans="1:22" ht="14.5" x14ac:dyDescent="0.35">
      <c r="A96" s="19"/>
      <c r="B96" s="19"/>
      <c r="C96" s="19" t="s">
        <v>228</v>
      </c>
      <c r="D96" s="20" t="s">
        <v>225</v>
      </c>
      <c r="E96" s="8">
        <f>Source!AU41</f>
        <v>10</v>
      </c>
      <c r="F96" s="22"/>
      <c r="G96" s="21"/>
      <c r="H96" s="8"/>
      <c r="I96" s="8"/>
      <c r="J96" s="22">
        <f>SUM(T91:T95)</f>
        <v>395308.75</v>
      </c>
      <c r="K96" s="22"/>
    </row>
    <row r="97" spans="1:32" ht="14.5" x14ac:dyDescent="0.35">
      <c r="A97" s="19"/>
      <c r="B97" s="19"/>
      <c r="C97" s="19" t="s">
        <v>224</v>
      </c>
      <c r="D97" s="20" t="s">
        <v>225</v>
      </c>
      <c r="E97" s="8">
        <f>108</f>
        <v>108</v>
      </c>
      <c r="F97" s="22"/>
      <c r="G97" s="21"/>
      <c r="H97" s="8"/>
      <c r="I97" s="8"/>
      <c r="J97" s="22">
        <f>SUM(V91:V96)</f>
        <v>8906372.5800000001</v>
      </c>
      <c r="K97" s="22"/>
    </row>
    <row r="98" spans="1:32" ht="14.5" x14ac:dyDescent="0.35">
      <c r="A98" s="19"/>
      <c r="B98" s="19"/>
      <c r="C98" s="19" t="s">
        <v>229</v>
      </c>
      <c r="D98" s="20" t="s">
        <v>230</v>
      </c>
      <c r="E98" s="8">
        <f>Source!AQ41</f>
        <v>0.37</v>
      </c>
      <c r="F98" s="22"/>
      <c r="G98" s="21" t="str">
        <f>Source!DI41</f>
        <v/>
      </c>
      <c r="H98" s="8">
        <f>Source!AV41</f>
        <v>1</v>
      </c>
      <c r="I98" s="8"/>
      <c r="J98" s="22"/>
      <c r="K98" s="22">
        <f>Source!U41</f>
        <v>8723.86</v>
      </c>
    </row>
    <row r="99" spans="1:32" ht="14" x14ac:dyDescent="0.3">
      <c r="A99" s="26"/>
      <c r="B99" s="26"/>
      <c r="C99" s="26"/>
      <c r="D99" s="26"/>
      <c r="E99" s="26"/>
      <c r="F99" s="26"/>
      <c r="G99" s="26"/>
      <c r="H99" s="26"/>
      <c r="I99" s="51">
        <f>J92+J93+J95+J96+J97</f>
        <v>32833044.049999997</v>
      </c>
      <c r="J99" s="51"/>
      <c r="K99" s="27">
        <f>IF(Source!I41&lt;&gt;0, ROUND(I99/Source!I41, 2), 0)</f>
        <v>1392.53</v>
      </c>
      <c r="P99" s="24">
        <f>I99</f>
        <v>32833044.049999997</v>
      </c>
    </row>
    <row r="100" spans="1:32" ht="28" x14ac:dyDescent="0.35">
      <c r="A100" s="19">
        <v>10</v>
      </c>
      <c r="B100" s="19" t="str">
        <f>Source!F42</f>
        <v>5.3-1102-14-1/1</v>
      </c>
      <c r="C100" s="19" t="str">
        <f>Source!G42</f>
        <v>Погрузка снега средствами малой механизации</v>
      </c>
      <c r="D100" s="20" t="str">
        <f>Source!H42</f>
        <v>м3</v>
      </c>
      <c r="E100" s="8">
        <f>Source!I42</f>
        <v>23578</v>
      </c>
      <c r="F100" s="22"/>
      <c r="G100" s="21"/>
      <c r="H100" s="8"/>
      <c r="I100" s="8"/>
      <c r="J100" s="22"/>
      <c r="K100" s="22"/>
      <c r="Q100">
        <f>ROUND((Source!BZ42/100)*ROUND((Source!AF42*Source!AV42)*Source!I42, 2), 2)</f>
        <v>0</v>
      </c>
      <c r="R100">
        <f>Source!X42</f>
        <v>0</v>
      </c>
      <c r="S100">
        <f>ROUND((Source!CA42/100)*ROUND((Source!AF42*Source!AV42)*Source!I42, 2), 2)</f>
        <v>0</v>
      </c>
      <c r="T100">
        <f>Source!Y42</f>
        <v>0</v>
      </c>
      <c r="U100">
        <f>ROUND((175/100)*ROUND((Source!AE42*Source!AV42)*Source!I42, 2), 2)</f>
        <v>3819989.67</v>
      </c>
      <c r="V100">
        <f>ROUND((108/100)*ROUND(Source!CS42*Source!I42, 2), 2)</f>
        <v>2357479.34</v>
      </c>
    </row>
    <row r="101" spans="1:32" ht="14.5" x14ac:dyDescent="0.35">
      <c r="A101" s="19"/>
      <c r="B101" s="19"/>
      <c r="C101" s="19" t="s">
        <v>222</v>
      </c>
      <c r="D101" s="20"/>
      <c r="E101" s="8"/>
      <c r="F101" s="22">
        <f>Source!AM42</f>
        <v>188.74</v>
      </c>
      <c r="G101" s="21" t="str">
        <f>Source!DE42</f>
        <v/>
      </c>
      <c r="H101" s="8">
        <f>Source!AV42</f>
        <v>1</v>
      </c>
      <c r="I101" s="8">
        <f>IF(Source!BB42&lt;&gt; 0, Source!BB42, 1)</f>
        <v>1</v>
      </c>
      <c r="J101" s="22">
        <f>Source!Q42</f>
        <v>4450111.72</v>
      </c>
      <c r="K101" s="22"/>
    </row>
    <row r="102" spans="1:32" ht="14.5" x14ac:dyDescent="0.35">
      <c r="A102" s="19"/>
      <c r="B102" s="19"/>
      <c r="C102" s="19" t="s">
        <v>223</v>
      </c>
      <c r="D102" s="20"/>
      <c r="E102" s="8"/>
      <c r="F102" s="22">
        <f>Source!AN42</f>
        <v>92.58</v>
      </c>
      <c r="G102" s="21" t="str">
        <f>Source!DF42</f>
        <v/>
      </c>
      <c r="H102" s="8">
        <f>Source!AV42</f>
        <v>1</v>
      </c>
      <c r="I102" s="8">
        <f>IF(Source!BS42&lt;&gt; 0, Source!BS42, 1)</f>
        <v>1</v>
      </c>
      <c r="J102" s="23">
        <f>Source!R42</f>
        <v>2182851.2400000002</v>
      </c>
      <c r="K102" s="22"/>
    </row>
    <row r="103" spans="1:32" ht="14.5" x14ac:dyDescent="0.35">
      <c r="A103" s="19"/>
      <c r="B103" s="19"/>
      <c r="C103" s="19" t="s">
        <v>224</v>
      </c>
      <c r="D103" s="20" t="s">
        <v>225</v>
      </c>
      <c r="E103" s="8">
        <f>108</f>
        <v>108</v>
      </c>
      <c r="F103" s="22"/>
      <c r="G103" s="21"/>
      <c r="H103" s="8"/>
      <c r="I103" s="8"/>
      <c r="J103" s="22">
        <f>SUM(V100:V102)</f>
        <v>2357479.34</v>
      </c>
      <c r="K103" s="22"/>
    </row>
    <row r="104" spans="1:32" ht="14" x14ac:dyDescent="0.3">
      <c r="A104" s="26"/>
      <c r="B104" s="26"/>
      <c r="C104" s="26"/>
      <c r="D104" s="26"/>
      <c r="E104" s="26"/>
      <c r="F104" s="26"/>
      <c r="G104" s="26"/>
      <c r="H104" s="26"/>
      <c r="I104" s="51">
        <f>J101+J103</f>
        <v>6807591.0599999996</v>
      </c>
      <c r="J104" s="51"/>
      <c r="K104" s="27">
        <f>IF(Source!I42&lt;&gt;0, ROUND(I104/Source!I42, 2), 0)</f>
        <v>288.73</v>
      </c>
      <c r="P104" s="24">
        <f>I104</f>
        <v>6807591.0599999996</v>
      </c>
    </row>
    <row r="106" spans="1:32" ht="14" x14ac:dyDescent="0.3">
      <c r="A106" s="55" t="str">
        <f>CONCATENATE("Итого по подразделу: ",IF(Source!G44&lt;&gt;"Новый подраздел", Source!G44, ""))</f>
        <v xml:space="preserve">Итого по подразделу: Подраздел: ЗИМНЯЯ УБОРКА </v>
      </c>
      <c r="B106" s="55"/>
      <c r="C106" s="55"/>
      <c r="D106" s="55"/>
      <c r="E106" s="55"/>
      <c r="F106" s="55"/>
      <c r="G106" s="55"/>
      <c r="H106" s="55"/>
      <c r="I106" s="53">
        <f>SUM(P37:P105)</f>
        <v>77125089.390000001</v>
      </c>
      <c r="J106" s="54"/>
      <c r="K106" s="29"/>
      <c r="AF106" s="30" t="str">
        <f>CONCATENATE("Итого по подразделу: ",IF(Source!G44&lt;&gt;"Новый подраздел", Source!G44, ""))</f>
        <v xml:space="preserve">Итого по подразделу: Подраздел: ЗИМНЯЯ УБОРКА </v>
      </c>
    </row>
    <row r="109" spans="1:32" ht="16.5" x14ac:dyDescent="0.35">
      <c r="A109" s="52" t="str">
        <f>CONCATENATE("Подраздел: ",IF(Source!G74&lt;&gt;"Новый подраздел", Source!G74, ""))</f>
        <v xml:space="preserve">Подраздел: Подраздел: ЛЕТНЯЯ УБОРКА </v>
      </c>
      <c r="B109" s="52"/>
      <c r="C109" s="52"/>
      <c r="D109" s="52"/>
      <c r="E109" s="52"/>
      <c r="F109" s="52"/>
      <c r="G109" s="52"/>
      <c r="H109" s="52"/>
      <c r="I109" s="52"/>
      <c r="J109" s="52"/>
      <c r="K109" s="52"/>
    </row>
    <row r="110" spans="1:32" ht="42" x14ac:dyDescent="0.35">
      <c r="A110" s="19">
        <v>11</v>
      </c>
      <c r="B110" s="19" t="str">
        <f>Source!F78</f>
        <v>5.3-1101-15-1/1</v>
      </c>
      <c r="C110" s="19" t="str">
        <f>Source!G78</f>
        <v>Подметание тротуаров, придомовых и внутрибольничных проездов средствами малой механизации</v>
      </c>
      <c r="D110" s="20" t="str">
        <f>Source!H78</f>
        <v>1000 м2</v>
      </c>
      <c r="E110" s="8">
        <f>Source!I78</f>
        <v>130.98945000000001</v>
      </c>
      <c r="F110" s="22"/>
      <c r="G110" s="21"/>
      <c r="H110" s="8"/>
      <c r="I110" s="8"/>
      <c r="J110" s="22"/>
      <c r="K110" s="22"/>
      <c r="Q110">
        <f>ROUND((Source!BZ78/100)*ROUND((Source!AF78*Source!AV78)*Source!I78, 2), 2)</f>
        <v>0</v>
      </c>
      <c r="R110">
        <f>Source!X78</f>
        <v>0</v>
      </c>
      <c r="S110">
        <f>ROUND((Source!CA78/100)*ROUND((Source!AF78*Source!AV78)*Source!I78, 2), 2)</f>
        <v>0</v>
      </c>
      <c r="T110">
        <f>Source!Y78</f>
        <v>0</v>
      </c>
      <c r="U110">
        <f>ROUND((175/100)*ROUND((Source!AE78*Source!AV78)*Source!I78, 2), 2)</f>
        <v>3315582.04</v>
      </c>
      <c r="V110">
        <f>ROUND((108/100)*ROUND(Source!CS78*Source!I78, 2), 2)</f>
        <v>2046187.77</v>
      </c>
    </row>
    <row r="111" spans="1:32" ht="14.5" x14ac:dyDescent="0.35">
      <c r="A111" s="19"/>
      <c r="B111" s="19"/>
      <c r="C111" s="19" t="s">
        <v>222</v>
      </c>
      <c r="D111" s="20"/>
      <c r="E111" s="8"/>
      <c r="F111" s="22">
        <f>Source!AM78</f>
        <v>463.65</v>
      </c>
      <c r="G111" s="21" t="str">
        <f>Source!DE78</f>
        <v>)*66</v>
      </c>
      <c r="H111" s="8">
        <f>Source!AV78</f>
        <v>1</v>
      </c>
      <c r="I111" s="8">
        <f>IF(Source!BB78&lt;&gt; 0, Source!BB78, 1)</f>
        <v>1</v>
      </c>
      <c r="J111" s="22">
        <f>Source!Q78</f>
        <v>4008395.06</v>
      </c>
      <c r="K111" s="22"/>
    </row>
    <row r="112" spans="1:32" ht="14.5" x14ac:dyDescent="0.35">
      <c r="A112" s="19"/>
      <c r="B112" s="19"/>
      <c r="C112" s="19" t="s">
        <v>223</v>
      </c>
      <c r="D112" s="20"/>
      <c r="E112" s="8"/>
      <c r="F112" s="22">
        <f>Source!AN78</f>
        <v>219.15</v>
      </c>
      <c r="G112" s="21" t="str">
        <f>Source!DF78</f>
        <v>)*66</v>
      </c>
      <c r="H112" s="8">
        <f>Source!AV78</f>
        <v>1</v>
      </c>
      <c r="I112" s="8">
        <f>IF(Source!BS78&lt;&gt; 0, Source!BS78, 1)</f>
        <v>1</v>
      </c>
      <c r="J112" s="23">
        <f>Source!R78</f>
        <v>1894618.31</v>
      </c>
      <c r="K112" s="22"/>
    </row>
    <row r="113" spans="1:22" ht="14.5" x14ac:dyDescent="0.35">
      <c r="A113" s="19"/>
      <c r="B113" s="19"/>
      <c r="C113" s="19" t="s">
        <v>231</v>
      </c>
      <c r="D113" s="20"/>
      <c r="E113" s="8"/>
      <c r="F113" s="22">
        <f>Source!AL78</f>
        <v>10.96</v>
      </c>
      <c r="G113" s="21" t="str">
        <f>Source!DD78</f>
        <v>)*66</v>
      </c>
      <c r="H113" s="8">
        <f>Source!AW78</f>
        <v>1</v>
      </c>
      <c r="I113" s="8">
        <f>IF(Source!BC78&lt;&gt; 0, Source!BC78, 1)</f>
        <v>1</v>
      </c>
      <c r="J113" s="22">
        <f>Source!P78</f>
        <v>94752.53</v>
      </c>
      <c r="K113" s="22"/>
    </row>
    <row r="114" spans="1:22" ht="14.5" x14ac:dyDescent="0.35">
      <c r="A114" s="19"/>
      <c r="B114" s="19"/>
      <c r="C114" s="19" t="s">
        <v>224</v>
      </c>
      <c r="D114" s="20" t="s">
        <v>225</v>
      </c>
      <c r="E114" s="8">
        <f>108</f>
        <v>108</v>
      </c>
      <c r="F114" s="22"/>
      <c r="G114" s="21"/>
      <c r="H114" s="8"/>
      <c r="I114" s="8"/>
      <c r="J114" s="22">
        <f>SUM(V110:V113)</f>
        <v>2046187.77</v>
      </c>
      <c r="K114" s="22"/>
    </row>
    <row r="115" spans="1:22" ht="14" x14ac:dyDescent="0.3">
      <c r="A115" s="26"/>
      <c r="B115" s="26"/>
      <c r="C115" s="26"/>
      <c r="D115" s="26"/>
      <c r="E115" s="26"/>
      <c r="F115" s="26"/>
      <c r="G115" s="26"/>
      <c r="H115" s="26"/>
      <c r="I115" s="51">
        <f>J111+J113+J114</f>
        <v>6149335.3599999994</v>
      </c>
      <c r="J115" s="51"/>
      <c r="K115" s="27">
        <f>IF(Source!I78&lt;&gt;0, ROUND(I115/Source!I78, 2), 0)</f>
        <v>46945.27</v>
      </c>
      <c r="P115" s="24">
        <f>I115</f>
        <v>6149335.3599999994</v>
      </c>
    </row>
    <row r="116" spans="1:22" ht="28" x14ac:dyDescent="0.35">
      <c r="A116" s="19">
        <v>12</v>
      </c>
      <c r="B116" s="19" t="str">
        <f>Source!F79</f>
        <v>5.3-1101-13-1/1</v>
      </c>
      <c r="C116" s="19" t="str">
        <f>Source!G79</f>
        <v>Подметание вручную дорожек и площадок с твердым покрытием</v>
      </c>
      <c r="D116" s="20" t="str">
        <f>Source!H79</f>
        <v>100 м2</v>
      </c>
      <c r="E116" s="8">
        <f>Source!I79</f>
        <v>327.47359999999998</v>
      </c>
      <c r="F116" s="22"/>
      <c r="G116" s="21"/>
      <c r="H116" s="8"/>
      <c r="I116" s="8"/>
      <c r="J116" s="22"/>
      <c r="K116" s="22"/>
      <c r="Q116">
        <f>ROUND((Source!BZ79/100)*ROUND((Source!AF79*Source!AV79)*Source!I79, 2), 2)</f>
        <v>959801.54</v>
      </c>
      <c r="R116">
        <f>Source!X79</f>
        <v>959801.54</v>
      </c>
      <c r="S116">
        <f>ROUND((Source!CA79/100)*ROUND((Source!AF79*Source!AV79)*Source!I79, 2), 2)</f>
        <v>137114.51</v>
      </c>
      <c r="T116">
        <f>Source!Y79</f>
        <v>137114.51</v>
      </c>
      <c r="U116">
        <f>ROUND((175/100)*ROUND((Source!AE79*Source!AV79)*Source!I79, 2), 2)</f>
        <v>0</v>
      </c>
      <c r="V116">
        <f>ROUND((108/100)*ROUND(Source!CS79*Source!I79, 2), 2)</f>
        <v>0</v>
      </c>
    </row>
    <row r="117" spans="1:22" ht="14.5" x14ac:dyDescent="0.35">
      <c r="A117" s="19"/>
      <c r="B117" s="19"/>
      <c r="C117" s="19" t="s">
        <v>226</v>
      </c>
      <c r="D117" s="20"/>
      <c r="E117" s="8"/>
      <c r="F117" s="22">
        <f>Source!AO79</f>
        <v>63.44</v>
      </c>
      <c r="G117" s="21" t="str">
        <f>Source!DG79</f>
        <v>)*66</v>
      </c>
      <c r="H117" s="8">
        <f>Source!AV79</f>
        <v>1</v>
      </c>
      <c r="I117" s="8">
        <f>IF(Source!BA79&lt;&gt; 0, Source!BA79, 1)</f>
        <v>1</v>
      </c>
      <c r="J117" s="22">
        <f>Source!S79</f>
        <v>1371145.06</v>
      </c>
      <c r="K117" s="22"/>
    </row>
    <row r="118" spans="1:22" ht="14.5" x14ac:dyDescent="0.35">
      <c r="A118" s="19"/>
      <c r="B118" s="19"/>
      <c r="C118" s="19" t="s">
        <v>227</v>
      </c>
      <c r="D118" s="20" t="s">
        <v>225</v>
      </c>
      <c r="E118" s="8">
        <f>Source!AT79</f>
        <v>70</v>
      </c>
      <c r="F118" s="22"/>
      <c r="G118" s="21"/>
      <c r="H118" s="8"/>
      <c r="I118" s="8"/>
      <c r="J118" s="22">
        <f>SUM(R116:R117)</f>
        <v>959801.54</v>
      </c>
      <c r="K118" s="22"/>
    </row>
    <row r="119" spans="1:22" ht="14.5" x14ac:dyDescent="0.35">
      <c r="A119" s="19"/>
      <c r="B119" s="19"/>
      <c r="C119" s="19" t="s">
        <v>228</v>
      </c>
      <c r="D119" s="20" t="s">
        <v>225</v>
      </c>
      <c r="E119" s="8">
        <f>Source!AU79</f>
        <v>10</v>
      </c>
      <c r="F119" s="22"/>
      <c r="G119" s="21"/>
      <c r="H119" s="8"/>
      <c r="I119" s="8"/>
      <c r="J119" s="22">
        <f>SUM(T116:T118)</f>
        <v>137114.51</v>
      </c>
      <c r="K119" s="22"/>
    </row>
    <row r="120" spans="1:22" ht="14.5" x14ac:dyDescent="0.35">
      <c r="A120" s="19"/>
      <c r="B120" s="19"/>
      <c r="C120" s="19" t="s">
        <v>229</v>
      </c>
      <c r="D120" s="20" t="s">
        <v>230</v>
      </c>
      <c r="E120" s="8">
        <f>Source!AQ79</f>
        <v>0.14000000000000001</v>
      </c>
      <c r="F120" s="22"/>
      <c r="G120" s="21" t="str">
        <f>Source!DI79</f>
        <v>)*66</v>
      </c>
      <c r="H120" s="8">
        <f>Source!AV79</f>
        <v>1</v>
      </c>
      <c r="I120" s="8"/>
      <c r="J120" s="22"/>
      <c r="K120" s="22">
        <f>Source!U79</f>
        <v>3025.8560640000001</v>
      </c>
    </row>
    <row r="121" spans="1:22" ht="14" x14ac:dyDescent="0.3">
      <c r="A121" s="26"/>
      <c r="B121" s="26"/>
      <c r="C121" s="26"/>
      <c r="D121" s="26"/>
      <c r="E121" s="26"/>
      <c r="F121" s="26"/>
      <c r="G121" s="26"/>
      <c r="H121" s="26"/>
      <c r="I121" s="51">
        <f>J117+J118+J119</f>
        <v>2468061.1100000003</v>
      </c>
      <c r="J121" s="51"/>
      <c r="K121" s="27">
        <f>IF(Source!I79&lt;&gt;0, ROUND(I121/Source!I79, 2), 0)</f>
        <v>7536.67</v>
      </c>
      <c r="P121" s="24">
        <f>I121</f>
        <v>2468061.1100000003</v>
      </c>
    </row>
    <row r="122" spans="1:22" ht="42" x14ac:dyDescent="0.35">
      <c r="A122" s="19">
        <v>13</v>
      </c>
      <c r="B122" s="19" t="str">
        <f>Source!F81</f>
        <v>5.3-1101-15-4/1</v>
      </c>
      <c r="C122" s="19" t="str">
        <f>Source!G81</f>
        <v>Полив тротуаров, придомовых и внутрибольничных проездов средствами малой механизации</v>
      </c>
      <c r="D122" s="20" t="str">
        <f>Source!H81</f>
        <v>1000 м2</v>
      </c>
      <c r="E122" s="8">
        <f>Source!I81</f>
        <v>163.73680999999999</v>
      </c>
      <c r="F122" s="22"/>
      <c r="G122" s="21"/>
      <c r="H122" s="8"/>
      <c r="I122" s="8"/>
      <c r="J122" s="22"/>
      <c r="K122" s="22"/>
      <c r="Q122">
        <f>ROUND((Source!BZ81/100)*ROUND((Source!AF81*Source!AV81)*Source!I81, 2), 2)</f>
        <v>0</v>
      </c>
      <c r="R122">
        <f>Source!X81</f>
        <v>0</v>
      </c>
      <c r="S122">
        <f>ROUND((Source!CA81/100)*ROUND((Source!AF81*Source!AV81)*Source!I81, 2), 2)</f>
        <v>0</v>
      </c>
      <c r="T122">
        <f>Source!Y81</f>
        <v>0</v>
      </c>
      <c r="U122">
        <f>ROUND((175/100)*ROUND((Source!AE81*Source!AV81)*Source!I81, 2), 2)</f>
        <v>1420129.46</v>
      </c>
      <c r="V122">
        <f>ROUND((108/100)*ROUND(Source!CS81*Source!I81, 2), 2)</f>
        <v>876422.75</v>
      </c>
    </row>
    <row r="123" spans="1:22" ht="14.5" x14ac:dyDescent="0.35">
      <c r="A123" s="19"/>
      <c r="B123" s="19"/>
      <c r="C123" s="19" t="s">
        <v>222</v>
      </c>
      <c r="D123" s="20"/>
      <c r="E123" s="8"/>
      <c r="F123" s="22">
        <f>Source!AM81</f>
        <v>748.98</v>
      </c>
      <c r="G123" s="21" t="str">
        <f>Source!DE81</f>
        <v>)*14</v>
      </c>
      <c r="H123" s="8">
        <f>Source!AV81</f>
        <v>1</v>
      </c>
      <c r="I123" s="8">
        <f>IF(Source!BB81&lt;&gt; 0, Source!BB81, 1)</f>
        <v>1</v>
      </c>
      <c r="J123" s="22">
        <f>Source!Q81</f>
        <v>1716898.34</v>
      </c>
      <c r="K123" s="22"/>
    </row>
    <row r="124" spans="1:22" ht="14.5" x14ac:dyDescent="0.35">
      <c r="A124" s="19"/>
      <c r="B124" s="19"/>
      <c r="C124" s="19" t="s">
        <v>223</v>
      </c>
      <c r="D124" s="20"/>
      <c r="E124" s="8"/>
      <c r="F124" s="22">
        <f>Source!AN81</f>
        <v>354.01</v>
      </c>
      <c r="G124" s="21" t="str">
        <f>Source!DF81</f>
        <v>)*14</v>
      </c>
      <c r="H124" s="8">
        <f>Source!AV81</f>
        <v>1</v>
      </c>
      <c r="I124" s="8">
        <f>IF(Source!BS81&lt;&gt; 0, Source!BS81, 1)</f>
        <v>1</v>
      </c>
      <c r="J124" s="23">
        <f>Source!R81</f>
        <v>811502.55</v>
      </c>
      <c r="K124" s="22"/>
    </row>
    <row r="125" spans="1:22" ht="14.5" x14ac:dyDescent="0.35">
      <c r="A125" s="19"/>
      <c r="B125" s="19"/>
      <c r="C125" s="19" t="s">
        <v>231</v>
      </c>
      <c r="D125" s="20"/>
      <c r="E125" s="8"/>
      <c r="F125" s="22">
        <f>Source!AL81</f>
        <v>19.18</v>
      </c>
      <c r="G125" s="21" t="str">
        <f>Source!DD81</f>
        <v>)*14</v>
      </c>
      <c r="H125" s="8">
        <f>Source!AW81</f>
        <v>1</v>
      </c>
      <c r="I125" s="8">
        <f>IF(Source!BC81&lt;&gt; 0, Source!BC81, 1)</f>
        <v>1</v>
      </c>
      <c r="J125" s="22">
        <f>Source!P81</f>
        <v>43966.61</v>
      </c>
      <c r="K125" s="22"/>
    </row>
    <row r="126" spans="1:22" ht="14.5" x14ac:dyDescent="0.35">
      <c r="A126" s="19" t="s">
        <v>132</v>
      </c>
      <c r="B126" s="19" t="str">
        <f>Source!F82</f>
        <v>21.1-25-13</v>
      </c>
      <c r="C126" s="19" t="str">
        <f>Source!G82</f>
        <v>Вода</v>
      </c>
      <c r="D126" s="20" t="str">
        <f>Source!H82</f>
        <v>м3</v>
      </c>
      <c r="E126" s="8">
        <f>Source!I82</f>
        <v>-802.31036900000004</v>
      </c>
      <c r="F126" s="22">
        <f>Source!AK82</f>
        <v>54.81</v>
      </c>
      <c r="G126" s="28" t="s">
        <v>233</v>
      </c>
      <c r="H126" s="8">
        <f>Source!AW82</f>
        <v>1</v>
      </c>
      <c r="I126" s="8">
        <f>IF(Source!BC82&lt;&gt; 0, Source!BC82, 1)</f>
        <v>1</v>
      </c>
      <c r="J126" s="22">
        <f>Source!O82</f>
        <v>-43974.63</v>
      </c>
      <c r="K126" s="22"/>
      <c r="Q126">
        <f>ROUND((Source!BZ82/100)*ROUND((Source!AF82*Source!AV82)*Source!I82, 2), 2)</f>
        <v>0</v>
      </c>
      <c r="R126">
        <f>Source!X82</f>
        <v>0</v>
      </c>
      <c r="S126">
        <f>ROUND((Source!CA82/100)*ROUND((Source!AF82*Source!AV82)*Source!I82, 2), 2)</f>
        <v>0</v>
      </c>
      <c r="T126">
        <f>Source!Y82</f>
        <v>0</v>
      </c>
      <c r="U126">
        <f>ROUND((175/100)*ROUND((Source!AE82*Source!AV82)*Source!I82, 2), 2)</f>
        <v>0</v>
      </c>
      <c r="V126">
        <f>ROUND((108/100)*ROUND(Source!CS82*Source!I82, 2), 2)</f>
        <v>0</v>
      </c>
    </row>
    <row r="127" spans="1:22" ht="14.5" x14ac:dyDescent="0.35">
      <c r="A127" s="19"/>
      <c r="B127" s="19"/>
      <c r="C127" s="19" t="s">
        <v>224</v>
      </c>
      <c r="D127" s="20" t="s">
        <v>225</v>
      </c>
      <c r="E127" s="8">
        <f>108</f>
        <v>108</v>
      </c>
      <c r="F127" s="22"/>
      <c r="G127" s="21"/>
      <c r="H127" s="8"/>
      <c r="I127" s="8"/>
      <c r="J127" s="22">
        <f>SUM(V122:V126)</f>
        <v>876422.75</v>
      </c>
      <c r="K127" s="22"/>
    </row>
    <row r="128" spans="1:22" ht="14" x14ac:dyDescent="0.3">
      <c r="A128" s="26"/>
      <c r="B128" s="26"/>
      <c r="C128" s="26"/>
      <c r="D128" s="26"/>
      <c r="E128" s="26"/>
      <c r="F128" s="26"/>
      <c r="G128" s="26"/>
      <c r="H128" s="26"/>
      <c r="I128" s="51">
        <f>J123+J125+J127+SUM(J126:J126)</f>
        <v>2593313.0700000003</v>
      </c>
      <c r="J128" s="51"/>
      <c r="K128" s="27">
        <f>IF(Source!I81&lt;&gt;0, ROUND(I128/Source!I81, 2), 0)</f>
        <v>15838.3</v>
      </c>
      <c r="P128" s="24">
        <f>I128</f>
        <v>2593313.0700000003</v>
      </c>
    </row>
    <row r="130" spans="1:22" ht="14" x14ac:dyDescent="0.3">
      <c r="A130" s="55" t="str">
        <f>CONCATENATE("Итого по подразделу: ",IF(Source!G86&lt;&gt;"Новый подраздел", Source!G86, ""))</f>
        <v xml:space="preserve">Итого по подразделу: Подраздел: ЛЕТНЯЯ УБОРКА </v>
      </c>
      <c r="B130" s="55"/>
      <c r="C130" s="55"/>
      <c r="D130" s="55"/>
      <c r="E130" s="55"/>
      <c r="F130" s="55"/>
      <c r="G130" s="55"/>
      <c r="H130" s="55"/>
      <c r="I130" s="53">
        <f>SUM(P109:P129)</f>
        <v>11210709.539999999</v>
      </c>
      <c r="J130" s="54"/>
      <c r="K130" s="29"/>
    </row>
    <row r="133" spans="1:22" ht="16.5" x14ac:dyDescent="0.35">
      <c r="A133" s="52" t="str">
        <f>CONCATENATE("Подраздел: ",IF(Source!G116&lt;&gt;"Новый подраздел", Source!G116, ""))</f>
        <v>Подраздел: Подраздел: УХОД ЗА ЗЕЛЕНЫМИ НАСАЖДЕНИЯМИ</v>
      </c>
      <c r="B133" s="52"/>
      <c r="C133" s="52"/>
      <c r="D133" s="52"/>
      <c r="E133" s="52"/>
      <c r="F133" s="52"/>
      <c r="G133" s="52"/>
      <c r="H133" s="52"/>
      <c r="I133" s="52"/>
      <c r="J133" s="52"/>
      <c r="K133" s="52"/>
    </row>
    <row r="134" spans="1:22" ht="28" x14ac:dyDescent="0.35">
      <c r="A134" s="19">
        <v>14</v>
      </c>
      <c r="B134" s="19" t="str">
        <f>Source!F120</f>
        <v>5.4-1201-1-1/1</v>
      </c>
      <c r="C134" s="19" t="str">
        <f>Source!G120</f>
        <v>Сбор случайного мусора по территории</v>
      </c>
      <c r="D134" s="20" t="str">
        <f>Source!H120</f>
        <v>100 м2</v>
      </c>
      <c r="E134" s="8">
        <f>Source!I120</f>
        <v>850.19770000000005</v>
      </c>
      <c r="F134" s="22"/>
      <c r="G134" s="21"/>
      <c r="H134" s="8"/>
      <c r="I134" s="8"/>
      <c r="J134" s="22"/>
      <c r="K134" s="22"/>
      <c r="Q134">
        <f>ROUND((Source!BZ120/100)*ROUND((Source!AF120*Source!AV120)*Source!I120, 2), 2)</f>
        <v>755206.81</v>
      </c>
      <c r="R134">
        <f>Source!X120</f>
        <v>755206.81</v>
      </c>
      <c r="S134">
        <f>ROUND((Source!CA120/100)*ROUND((Source!AF120*Source!AV120)*Source!I120, 2), 2)</f>
        <v>107886.69</v>
      </c>
      <c r="T134">
        <f>Source!Y120</f>
        <v>107886.69</v>
      </c>
      <c r="U134">
        <f>ROUND((175/100)*ROUND((Source!AE120*Source!AV120)*Source!I120, 2), 2)</f>
        <v>0</v>
      </c>
      <c r="V134">
        <f>ROUND((108/100)*ROUND(Source!CS120*Source!I120, 2), 2)</f>
        <v>0</v>
      </c>
    </row>
    <row r="135" spans="1:22" ht="14.5" x14ac:dyDescent="0.35">
      <c r="A135" s="19"/>
      <c r="B135" s="19"/>
      <c r="C135" s="19" t="s">
        <v>226</v>
      </c>
      <c r="D135" s="20"/>
      <c r="E135" s="8"/>
      <c r="F135" s="22">
        <f>Source!AO120</f>
        <v>22.66</v>
      </c>
      <c r="G135" s="21" t="str">
        <f>Source!DG120</f>
        <v>)*56</v>
      </c>
      <c r="H135" s="8">
        <f>Source!AV120</f>
        <v>1</v>
      </c>
      <c r="I135" s="8">
        <f>IF(Source!BA120&lt;&gt; 0, Source!BA120, 1)</f>
        <v>1</v>
      </c>
      <c r="J135" s="22">
        <f>Source!S120</f>
        <v>1078866.8700000001</v>
      </c>
      <c r="K135" s="22"/>
    </row>
    <row r="136" spans="1:22" ht="14.5" x14ac:dyDescent="0.35">
      <c r="A136" s="19"/>
      <c r="B136" s="19"/>
      <c r="C136" s="19" t="s">
        <v>231</v>
      </c>
      <c r="D136" s="20"/>
      <c r="E136" s="8"/>
      <c r="F136" s="22">
        <f>Source!AL120</f>
        <v>0.91</v>
      </c>
      <c r="G136" s="21" t="str">
        <f>Source!DD120</f>
        <v>)*56</v>
      </c>
      <c r="H136" s="8">
        <f>Source!AW120</f>
        <v>1</v>
      </c>
      <c r="I136" s="8">
        <f>IF(Source!BC120&lt;&gt; 0, Source!BC120, 1)</f>
        <v>1</v>
      </c>
      <c r="J136" s="22">
        <f>Source!P120</f>
        <v>43326.07</v>
      </c>
      <c r="K136" s="22"/>
    </row>
    <row r="137" spans="1:22" ht="14.5" x14ac:dyDescent="0.35">
      <c r="A137" s="19"/>
      <c r="B137" s="19"/>
      <c r="C137" s="19" t="s">
        <v>227</v>
      </c>
      <c r="D137" s="20" t="s">
        <v>225</v>
      </c>
      <c r="E137" s="8">
        <f>Source!AT120</f>
        <v>70</v>
      </c>
      <c r="F137" s="22"/>
      <c r="G137" s="21"/>
      <c r="H137" s="8"/>
      <c r="I137" s="8"/>
      <c r="J137" s="22">
        <f>SUM(R134:R136)</f>
        <v>755206.81</v>
      </c>
      <c r="K137" s="22"/>
    </row>
    <row r="138" spans="1:22" ht="14.5" x14ac:dyDescent="0.35">
      <c r="A138" s="19"/>
      <c r="B138" s="19"/>
      <c r="C138" s="19" t="s">
        <v>228</v>
      </c>
      <c r="D138" s="20" t="s">
        <v>225</v>
      </c>
      <c r="E138" s="8">
        <f>Source!AU120</f>
        <v>10</v>
      </c>
      <c r="F138" s="22"/>
      <c r="G138" s="21"/>
      <c r="H138" s="8"/>
      <c r="I138" s="8"/>
      <c r="J138" s="22">
        <f>SUM(T134:T137)</f>
        <v>107886.69</v>
      </c>
      <c r="K138" s="22"/>
    </row>
    <row r="139" spans="1:22" ht="14.5" x14ac:dyDescent="0.35">
      <c r="A139" s="19"/>
      <c r="B139" s="19"/>
      <c r="C139" s="19" t="s">
        <v>229</v>
      </c>
      <c r="D139" s="20" t="s">
        <v>230</v>
      </c>
      <c r="E139" s="8">
        <f>Source!AQ120</f>
        <v>0.05</v>
      </c>
      <c r="F139" s="22"/>
      <c r="G139" s="21" t="str">
        <f>Source!DI120</f>
        <v>)*56</v>
      </c>
      <c r="H139" s="8">
        <f>Source!AV120</f>
        <v>1</v>
      </c>
      <c r="I139" s="8"/>
      <c r="J139" s="22"/>
      <c r="K139" s="22">
        <f>Source!U120</f>
        <v>2380.5535600000003</v>
      </c>
    </row>
    <row r="140" spans="1:22" ht="14" x14ac:dyDescent="0.3">
      <c r="A140" s="26"/>
      <c r="B140" s="26"/>
      <c r="C140" s="26"/>
      <c r="D140" s="26"/>
      <c r="E140" s="26"/>
      <c r="F140" s="26"/>
      <c r="G140" s="26"/>
      <c r="H140" s="26"/>
      <c r="I140" s="51">
        <f>J135+J136+J137+J138</f>
        <v>1985286.4400000002</v>
      </c>
      <c r="J140" s="51"/>
      <c r="K140" s="27">
        <f>IF(Source!I120&lt;&gt;0, ROUND(I140/Source!I120, 2), 0)</f>
        <v>2335.09</v>
      </c>
      <c r="P140" s="24">
        <f>I140</f>
        <v>1985286.4400000002</v>
      </c>
    </row>
    <row r="141" spans="1:22" ht="28" x14ac:dyDescent="0.35">
      <c r="A141" s="19">
        <v>15</v>
      </c>
      <c r="B141" s="19" t="str">
        <f>Source!F121</f>
        <v>5.4-3201-7-2/1</v>
      </c>
      <c r="C141" s="19" t="str">
        <f>Source!G121</f>
        <v>Выкашивание газонов газонокосилкой</v>
      </c>
      <c r="D141" s="20" t="str">
        <f>Source!H121</f>
        <v>100 м2</v>
      </c>
      <c r="E141" s="8">
        <f>Source!I121</f>
        <v>1700.3954000000001</v>
      </c>
      <c r="F141" s="22"/>
      <c r="G141" s="21"/>
      <c r="H141" s="8"/>
      <c r="I141" s="8"/>
      <c r="J141" s="22"/>
      <c r="K141" s="22"/>
      <c r="Q141">
        <f>ROUND((Source!BZ121/100)*ROUND((Source!AF121*Source!AV121)*Source!I121, 2), 2)</f>
        <v>2674194.85</v>
      </c>
      <c r="R141">
        <f>Source!X121</f>
        <v>2674194.85</v>
      </c>
      <c r="S141">
        <f>ROUND((Source!CA121/100)*ROUND((Source!AF121*Source!AV121)*Source!I121, 2), 2)</f>
        <v>382027.84</v>
      </c>
      <c r="T141">
        <f>Source!Y121</f>
        <v>382027.84</v>
      </c>
      <c r="U141">
        <f>ROUND((175/100)*ROUND((Source!AE121*Source!AV121)*Source!I121, 2), 2)</f>
        <v>36601.01</v>
      </c>
      <c r="V141">
        <f>ROUND((108/100)*ROUND(Source!CS121*Source!I121, 2), 2)</f>
        <v>22588.05</v>
      </c>
    </row>
    <row r="142" spans="1:22" x14ac:dyDescent="0.25">
      <c r="C142" s="31" t="str">
        <f>"Объем: "&amp;Source!I121&amp;"=170039,54/"&amp;"100"</f>
        <v>Объем: 1700,3954=170039,54/100</v>
      </c>
    </row>
    <row r="143" spans="1:22" ht="14.5" x14ac:dyDescent="0.35">
      <c r="A143" s="19"/>
      <c r="B143" s="19"/>
      <c r="C143" s="19" t="s">
        <v>226</v>
      </c>
      <c r="D143" s="20"/>
      <c r="E143" s="8"/>
      <c r="F143" s="22">
        <f>Source!AO121</f>
        <v>449.34</v>
      </c>
      <c r="G143" s="21" t="str">
        <f>Source!DG121</f>
        <v>)*5</v>
      </c>
      <c r="H143" s="8">
        <f>Source!AV121</f>
        <v>1</v>
      </c>
      <c r="I143" s="8">
        <f>IF(Source!BA121&lt;&gt; 0, Source!BA121, 1)</f>
        <v>1</v>
      </c>
      <c r="J143" s="22">
        <f>Source!S121</f>
        <v>3820278.35</v>
      </c>
      <c r="K143" s="22"/>
    </row>
    <row r="144" spans="1:22" ht="14.5" x14ac:dyDescent="0.35">
      <c r="A144" s="19"/>
      <c r="B144" s="19"/>
      <c r="C144" s="19" t="s">
        <v>222</v>
      </c>
      <c r="D144" s="20"/>
      <c r="E144" s="8"/>
      <c r="F144" s="22">
        <f>Source!AM121</f>
        <v>24.44</v>
      </c>
      <c r="G144" s="21" t="str">
        <f>Source!DE121</f>
        <v>)*5</v>
      </c>
      <c r="H144" s="8">
        <f>Source!AV121</f>
        <v>1</v>
      </c>
      <c r="I144" s="8">
        <f>IF(Source!BB121&lt;&gt; 0, Source!BB121, 1)</f>
        <v>1</v>
      </c>
      <c r="J144" s="22">
        <f>Source!Q121</f>
        <v>207788.32</v>
      </c>
      <c r="K144" s="22"/>
    </row>
    <row r="145" spans="1:22" ht="14.5" x14ac:dyDescent="0.35">
      <c r="A145" s="19"/>
      <c r="B145" s="19"/>
      <c r="C145" s="19" t="s">
        <v>223</v>
      </c>
      <c r="D145" s="20"/>
      <c r="E145" s="8"/>
      <c r="F145" s="22">
        <f>Source!AN121</f>
        <v>2.46</v>
      </c>
      <c r="G145" s="21" t="str">
        <f>Source!DF121</f>
        <v>)*5</v>
      </c>
      <c r="H145" s="8">
        <f>Source!AV121</f>
        <v>1</v>
      </c>
      <c r="I145" s="8">
        <f>IF(Source!BS121&lt;&gt; 0, Source!BS121, 1)</f>
        <v>1</v>
      </c>
      <c r="J145" s="23">
        <f>Source!R121</f>
        <v>20914.86</v>
      </c>
      <c r="K145" s="22"/>
    </row>
    <row r="146" spans="1:22" ht="14.5" x14ac:dyDescent="0.35">
      <c r="A146" s="19"/>
      <c r="B146" s="19"/>
      <c r="C146" s="19" t="s">
        <v>227</v>
      </c>
      <c r="D146" s="20" t="s">
        <v>225</v>
      </c>
      <c r="E146" s="8">
        <f>Source!AT121</f>
        <v>70</v>
      </c>
      <c r="F146" s="22"/>
      <c r="G146" s="21"/>
      <c r="H146" s="8"/>
      <c r="I146" s="8"/>
      <c r="J146" s="22">
        <f>SUM(R141:R145)</f>
        <v>2674194.85</v>
      </c>
      <c r="K146" s="22"/>
    </row>
    <row r="147" spans="1:22" ht="14.5" x14ac:dyDescent="0.35">
      <c r="A147" s="19"/>
      <c r="B147" s="19"/>
      <c r="C147" s="19" t="s">
        <v>228</v>
      </c>
      <c r="D147" s="20" t="s">
        <v>225</v>
      </c>
      <c r="E147" s="8">
        <f>Source!AU121</f>
        <v>10</v>
      </c>
      <c r="F147" s="22"/>
      <c r="G147" s="21"/>
      <c r="H147" s="8"/>
      <c r="I147" s="8"/>
      <c r="J147" s="22">
        <f>SUM(T141:T146)</f>
        <v>382027.84</v>
      </c>
      <c r="K147" s="22"/>
    </row>
    <row r="148" spans="1:22" ht="14.5" x14ac:dyDescent="0.35">
      <c r="A148" s="19"/>
      <c r="B148" s="19"/>
      <c r="C148" s="19" t="s">
        <v>224</v>
      </c>
      <c r="D148" s="20" t="s">
        <v>225</v>
      </c>
      <c r="E148" s="8">
        <f>108</f>
        <v>108</v>
      </c>
      <c r="F148" s="22"/>
      <c r="G148" s="21"/>
      <c r="H148" s="8"/>
      <c r="I148" s="8"/>
      <c r="J148" s="22">
        <f>SUM(V141:V147)</f>
        <v>22588.05</v>
      </c>
      <c r="K148" s="22"/>
    </row>
    <row r="149" spans="1:22" ht="14.5" x14ac:dyDescent="0.35">
      <c r="A149" s="19"/>
      <c r="B149" s="19"/>
      <c r="C149" s="19" t="s">
        <v>229</v>
      </c>
      <c r="D149" s="20" t="s">
        <v>230</v>
      </c>
      <c r="E149" s="8">
        <f>Source!AQ121</f>
        <v>0.98</v>
      </c>
      <c r="F149" s="22"/>
      <c r="G149" s="21" t="str">
        <f>Source!DI121</f>
        <v>)*5</v>
      </c>
      <c r="H149" s="8">
        <f>Source!AV121</f>
        <v>1</v>
      </c>
      <c r="I149" s="8"/>
      <c r="J149" s="22"/>
      <c r="K149" s="22">
        <f>Source!U121</f>
        <v>8331.937460000001</v>
      </c>
    </row>
    <row r="150" spans="1:22" ht="14" x14ac:dyDescent="0.3">
      <c r="A150" s="26"/>
      <c r="B150" s="26"/>
      <c r="C150" s="26"/>
      <c r="D150" s="26"/>
      <c r="E150" s="26"/>
      <c r="F150" s="26"/>
      <c r="G150" s="26"/>
      <c r="H150" s="26"/>
      <c r="I150" s="51">
        <f>J143+J144+J146+J147+J148</f>
        <v>7106877.4099999992</v>
      </c>
      <c r="J150" s="51"/>
      <c r="K150" s="27">
        <f>IF(Source!I121&lt;&gt;0, ROUND(I150/Source!I121, 2), 0)</f>
        <v>4179.54</v>
      </c>
      <c r="P150" s="24">
        <f>I150</f>
        <v>7106877.4099999992</v>
      </c>
    </row>
    <row r="151" spans="1:22" ht="28" x14ac:dyDescent="0.35">
      <c r="A151" s="19">
        <v>16</v>
      </c>
      <c r="B151" s="19" t="str">
        <f>Source!F122</f>
        <v>5.4-3405-7-1/1</v>
      </c>
      <c r="C151" s="19" t="str">
        <f>Source!G122</f>
        <v>Полив зеленых насаждений из шланга поливомоечной машины</v>
      </c>
      <c r="D151" s="20" t="str">
        <f>Source!H122</f>
        <v>м3</v>
      </c>
      <c r="E151" s="8">
        <f>Source!I122</f>
        <v>969.78399999999999</v>
      </c>
      <c r="F151" s="22"/>
      <c r="G151" s="21"/>
      <c r="H151" s="8"/>
      <c r="I151" s="8"/>
      <c r="J151" s="22"/>
      <c r="K151" s="22"/>
      <c r="Q151">
        <f>ROUND((Source!BZ122/100)*ROUND((Source!AF122*Source!AV122)*Source!I122, 2), 2)</f>
        <v>247630.47</v>
      </c>
      <c r="R151">
        <f>Source!X122</f>
        <v>247630.47</v>
      </c>
      <c r="S151">
        <f>ROUND((Source!CA122/100)*ROUND((Source!AF122*Source!AV122)*Source!I122, 2), 2)</f>
        <v>35375.78</v>
      </c>
      <c r="T151">
        <f>Source!Y122</f>
        <v>35375.78</v>
      </c>
      <c r="U151">
        <f>ROUND((175/100)*ROUND((Source!AE122*Source!AV122)*Source!I122, 2), 2)</f>
        <v>1053776.99</v>
      </c>
      <c r="V151">
        <f>ROUND((108/100)*ROUND(Source!CS122*Source!I122, 2), 2)</f>
        <v>650330.93999999994</v>
      </c>
    </row>
    <row r="152" spans="1:22" ht="14.5" x14ac:dyDescent="0.35">
      <c r="A152" s="19"/>
      <c r="B152" s="19"/>
      <c r="C152" s="19" t="s">
        <v>226</v>
      </c>
      <c r="D152" s="20"/>
      <c r="E152" s="8"/>
      <c r="F152" s="22">
        <f>Source!AO122</f>
        <v>182.39</v>
      </c>
      <c r="G152" s="21" t="str">
        <f>Source!DG122</f>
        <v>)*2</v>
      </c>
      <c r="H152" s="8">
        <f>Source!AV122</f>
        <v>1</v>
      </c>
      <c r="I152" s="8">
        <f>IF(Source!BA122&lt;&gt; 0, Source!BA122, 1)</f>
        <v>1</v>
      </c>
      <c r="J152" s="22">
        <f>Source!S122</f>
        <v>353757.81</v>
      </c>
      <c r="K152" s="22"/>
    </row>
    <row r="153" spans="1:22" ht="14.5" x14ac:dyDescent="0.35">
      <c r="A153" s="19"/>
      <c r="B153" s="19"/>
      <c r="C153" s="19" t="s">
        <v>222</v>
      </c>
      <c r="D153" s="20"/>
      <c r="E153" s="8"/>
      <c r="F153" s="22">
        <f>Source!AM122</f>
        <v>899.27</v>
      </c>
      <c r="G153" s="21" t="str">
        <f>Source!DE122</f>
        <v>)*2</v>
      </c>
      <c r="H153" s="8">
        <f>Source!AV122</f>
        <v>1</v>
      </c>
      <c r="I153" s="8">
        <f>IF(Source!BB122&lt;&gt; 0, Source!BB122, 1)</f>
        <v>1</v>
      </c>
      <c r="J153" s="22">
        <f>Source!Q122</f>
        <v>1744195.32</v>
      </c>
      <c r="K153" s="22"/>
    </row>
    <row r="154" spans="1:22" ht="14.5" x14ac:dyDescent="0.35">
      <c r="A154" s="19"/>
      <c r="B154" s="19"/>
      <c r="C154" s="19" t="s">
        <v>223</v>
      </c>
      <c r="D154" s="20"/>
      <c r="E154" s="8"/>
      <c r="F154" s="22">
        <f>Source!AN122</f>
        <v>310.45999999999998</v>
      </c>
      <c r="G154" s="21" t="str">
        <f>Source!DF122</f>
        <v>)*2</v>
      </c>
      <c r="H154" s="8">
        <f>Source!AV122</f>
        <v>1</v>
      </c>
      <c r="I154" s="8">
        <f>IF(Source!BS122&lt;&gt; 0, Source!BS122, 1)</f>
        <v>1</v>
      </c>
      <c r="J154" s="23">
        <f>Source!R122</f>
        <v>602158.28</v>
      </c>
      <c r="K154" s="22"/>
    </row>
    <row r="155" spans="1:22" ht="14.5" x14ac:dyDescent="0.35">
      <c r="A155" s="19"/>
      <c r="B155" s="19"/>
      <c r="C155" s="19" t="s">
        <v>231</v>
      </c>
      <c r="D155" s="20"/>
      <c r="E155" s="8"/>
      <c r="F155" s="22">
        <f>Source!AL122</f>
        <v>54.81</v>
      </c>
      <c r="G155" s="21" t="str">
        <f>Source!DD122</f>
        <v>)*2</v>
      </c>
      <c r="H155" s="8">
        <f>Source!AW122</f>
        <v>1</v>
      </c>
      <c r="I155" s="8">
        <f>IF(Source!BC122&lt;&gt; 0, Source!BC122, 1)</f>
        <v>1</v>
      </c>
      <c r="J155" s="22">
        <f>Source!P122</f>
        <v>106307.72</v>
      </c>
      <c r="K155" s="22"/>
    </row>
    <row r="156" spans="1:22" ht="14.5" x14ac:dyDescent="0.35">
      <c r="A156" s="19" t="s">
        <v>151</v>
      </c>
      <c r="B156" s="19" t="str">
        <f>Source!F123</f>
        <v>21.1-25-13</v>
      </c>
      <c r="C156" s="19" t="str">
        <f>Source!G123</f>
        <v>Вода</v>
      </c>
      <c r="D156" s="20" t="str">
        <f>Source!H123</f>
        <v>м3</v>
      </c>
      <c r="E156" s="8">
        <f>Source!I123</f>
        <v>-1939.568</v>
      </c>
      <c r="F156" s="22">
        <f>Source!AK123</f>
        <v>54.81</v>
      </c>
      <c r="G156" s="28" t="s">
        <v>234</v>
      </c>
      <c r="H156" s="8">
        <f>Source!AW123</f>
        <v>1</v>
      </c>
      <c r="I156" s="8">
        <f>IF(Source!BC123&lt;&gt; 0, Source!BC123, 1)</f>
        <v>1</v>
      </c>
      <c r="J156" s="22">
        <f>Source!O123</f>
        <v>-106307.72</v>
      </c>
      <c r="K156" s="22"/>
      <c r="Q156">
        <f>ROUND((Source!BZ123/100)*ROUND((Source!AF123*Source!AV123)*Source!I123, 2), 2)</f>
        <v>0</v>
      </c>
      <c r="R156">
        <f>Source!X123</f>
        <v>0</v>
      </c>
      <c r="S156">
        <f>ROUND((Source!CA123/100)*ROUND((Source!AF123*Source!AV123)*Source!I123, 2), 2)</f>
        <v>0</v>
      </c>
      <c r="T156">
        <f>Source!Y123</f>
        <v>0</v>
      </c>
      <c r="U156">
        <f>ROUND((175/100)*ROUND((Source!AE123*Source!AV123)*Source!I123, 2), 2)</f>
        <v>0</v>
      </c>
      <c r="V156">
        <f>ROUND((108/100)*ROUND(Source!CS123*Source!I123, 2), 2)</f>
        <v>0</v>
      </c>
    </row>
    <row r="157" spans="1:22" ht="14.5" x14ac:dyDescent="0.35">
      <c r="A157" s="19"/>
      <c r="B157" s="19"/>
      <c r="C157" s="19" t="s">
        <v>227</v>
      </c>
      <c r="D157" s="20" t="s">
        <v>225</v>
      </c>
      <c r="E157" s="8">
        <f>Source!AT122</f>
        <v>70</v>
      </c>
      <c r="F157" s="22"/>
      <c r="G157" s="21"/>
      <c r="H157" s="8"/>
      <c r="I157" s="8"/>
      <c r="J157" s="22">
        <f>SUM(R151:R156)</f>
        <v>247630.47</v>
      </c>
      <c r="K157" s="22"/>
    </row>
    <row r="158" spans="1:22" ht="14.5" x14ac:dyDescent="0.35">
      <c r="A158" s="19"/>
      <c r="B158" s="19"/>
      <c r="C158" s="19" t="s">
        <v>228</v>
      </c>
      <c r="D158" s="20" t="s">
        <v>225</v>
      </c>
      <c r="E158" s="8">
        <f>Source!AU122</f>
        <v>10</v>
      </c>
      <c r="F158" s="22"/>
      <c r="G158" s="21"/>
      <c r="H158" s="8"/>
      <c r="I158" s="8"/>
      <c r="J158" s="22">
        <f>SUM(T151:T157)</f>
        <v>35375.78</v>
      </c>
      <c r="K158" s="22"/>
    </row>
    <row r="159" spans="1:22" ht="14.5" x14ac:dyDescent="0.35">
      <c r="A159" s="19"/>
      <c r="B159" s="19"/>
      <c r="C159" s="19" t="s">
        <v>224</v>
      </c>
      <c r="D159" s="20" t="s">
        <v>225</v>
      </c>
      <c r="E159" s="8">
        <f>108</f>
        <v>108</v>
      </c>
      <c r="F159" s="22"/>
      <c r="G159" s="21"/>
      <c r="H159" s="8"/>
      <c r="I159" s="8"/>
      <c r="J159" s="22">
        <f>SUM(V151:V158)</f>
        <v>650330.93999999994</v>
      </c>
      <c r="K159" s="22"/>
    </row>
    <row r="160" spans="1:22" ht="14.5" x14ac:dyDescent="0.35">
      <c r="A160" s="19"/>
      <c r="B160" s="19"/>
      <c r="C160" s="19" t="s">
        <v>229</v>
      </c>
      <c r="D160" s="20" t="s">
        <v>230</v>
      </c>
      <c r="E160" s="8">
        <f>Source!AQ122</f>
        <v>0.56000000000000005</v>
      </c>
      <c r="F160" s="22"/>
      <c r="G160" s="21" t="str">
        <f>Source!DI122</f>
        <v>)*2</v>
      </c>
      <c r="H160" s="8">
        <f>Source!AV122</f>
        <v>1</v>
      </c>
      <c r="I160" s="8"/>
      <c r="J160" s="22"/>
      <c r="K160" s="22">
        <f>Source!U122</f>
        <v>1086.1580800000002</v>
      </c>
    </row>
    <row r="161" spans="1:16" ht="14" x14ac:dyDescent="0.3">
      <c r="A161" s="26"/>
      <c r="B161" s="26"/>
      <c r="C161" s="26"/>
      <c r="D161" s="26"/>
      <c r="E161" s="26"/>
      <c r="F161" s="26"/>
      <c r="G161" s="26"/>
      <c r="H161" s="26"/>
      <c r="I161" s="51">
        <f>J152+J153+J155+J157+J158+J159+SUM(J156:J156)</f>
        <v>3031290.32</v>
      </c>
      <c r="J161" s="51"/>
      <c r="K161" s="27">
        <f>IF(Source!I122&lt;&gt;0, ROUND(I161/Source!I122, 2), 0)</f>
        <v>3125.74</v>
      </c>
      <c r="P161" s="24">
        <f>I161</f>
        <v>3031290.32</v>
      </c>
    </row>
    <row r="163" spans="1:16" ht="14" x14ac:dyDescent="0.3">
      <c r="A163" s="55" t="str">
        <f>CONCATENATE("Итого по подразделу: ",IF(Source!G125&lt;&gt;"Новый подраздел", Source!G125, ""))</f>
        <v>Итого по подразделу: Подраздел: УХОД ЗА ЗЕЛЕНЫМИ НАСАЖДЕНИЯМИ</v>
      </c>
      <c r="B163" s="55"/>
      <c r="C163" s="55"/>
      <c r="D163" s="55"/>
      <c r="E163" s="55"/>
      <c r="F163" s="55"/>
      <c r="G163" s="55"/>
      <c r="H163" s="55"/>
      <c r="I163" s="53">
        <f>SUM(P133:P162)</f>
        <v>12123454.17</v>
      </c>
      <c r="J163" s="54"/>
      <c r="K163" s="29"/>
    </row>
    <row r="166" spans="1:16" ht="14" x14ac:dyDescent="0.3">
      <c r="A166" s="55" t="str">
        <f>CONCATENATE("Итого по разделу: ",IF(Source!G155&lt;&gt;"Новый раздел", Source!G155, ""))</f>
        <v>Итого по разделу: Раздел: Основная зона</v>
      </c>
      <c r="B166" s="55"/>
      <c r="C166" s="55"/>
      <c r="D166" s="55"/>
      <c r="E166" s="55"/>
      <c r="F166" s="55"/>
      <c r="G166" s="55"/>
      <c r="H166" s="55"/>
      <c r="I166" s="53">
        <f>SUM(P35:P165)</f>
        <v>100459253.09999999</v>
      </c>
      <c r="J166" s="54"/>
      <c r="K166" s="29"/>
    </row>
    <row r="169" spans="1:16" ht="14" x14ac:dyDescent="0.3">
      <c r="A169" s="55" t="str">
        <f>CONCATENATE("Итого по локальной смете: ",IF(Source!G185&lt;&gt;"Новая локальная смета", Source!G185, ""))</f>
        <v>Итого по локальной смете: Локальная смета: Зона №4</v>
      </c>
      <c r="B169" s="55"/>
      <c r="C169" s="55"/>
      <c r="D169" s="55"/>
      <c r="E169" s="55"/>
      <c r="F169" s="55"/>
      <c r="G169" s="55"/>
      <c r="H169" s="55"/>
      <c r="I169" s="53">
        <f>SUM(P33:P168)</f>
        <v>100459253.09999999</v>
      </c>
      <c r="J169" s="54"/>
      <c r="K169" s="29"/>
    </row>
    <row r="171" spans="1:16" ht="14" x14ac:dyDescent="0.3">
      <c r="C171" s="46" t="str">
        <f>Source!H214</f>
        <v>НДС 22%</v>
      </c>
      <c r="D171" s="46"/>
      <c r="E171" s="46"/>
      <c r="F171" s="46"/>
      <c r="G171" s="46"/>
      <c r="H171" s="46"/>
      <c r="I171" s="48">
        <f>IF(Source!F214=0, "", Source!F214)</f>
        <v>22101035.68</v>
      </c>
      <c r="J171" s="48"/>
    </row>
    <row r="172" spans="1:16" ht="14" x14ac:dyDescent="0.3">
      <c r="C172" s="46" t="str">
        <f>Source!H215</f>
        <v>Итого с НДС</v>
      </c>
      <c r="D172" s="46"/>
      <c r="E172" s="46"/>
      <c r="F172" s="46"/>
      <c r="G172" s="46"/>
      <c r="H172" s="46"/>
      <c r="I172" s="48">
        <f>IF(Source!F215=0, "", Source!F215)</f>
        <v>120551103.72</v>
      </c>
      <c r="J172" s="48"/>
    </row>
    <row r="174" spans="1:16" ht="14" x14ac:dyDescent="0.3">
      <c r="A174" s="55" t="str">
        <f>CONCATENATE("Итого по смете: ",IF(Source!G217&lt;&gt;"Новый объект", Source!G217, ""))</f>
        <v>Итого по смете: Зона 4</v>
      </c>
      <c r="B174" s="55"/>
      <c r="C174" s="55"/>
      <c r="D174" s="55"/>
      <c r="E174" s="55"/>
      <c r="F174" s="55"/>
      <c r="G174" s="55"/>
      <c r="H174" s="55"/>
      <c r="I174" s="53">
        <f>SUM(P1:P173)</f>
        <v>100459253.09999999</v>
      </c>
      <c r="J174" s="54"/>
      <c r="K174" s="29"/>
    </row>
    <row r="175" spans="1:16" ht="14" x14ac:dyDescent="0.3">
      <c r="C175" s="46" t="str">
        <f>Source!H246</f>
        <v>Итого</v>
      </c>
      <c r="D175" s="46"/>
      <c r="E175" s="46"/>
      <c r="F175" s="46"/>
      <c r="G175" s="46"/>
      <c r="H175" s="46"/>
      <c r="I175" s="48">
        <f>IF(Source!F246=0, "", Source!F246)</f>
        <v>100459253.09999999</v>
      </c>
      <c r="J175" s="48"/>
    </row>
    <row r="176" spans="1:16" ht="14" x14ac:dyDescent="0.3">
      <c r="C176" s="46" t="str">
        <f>Source!H247</f>
        <v>НДС 22%</v>
      </c>
      <c r="D176" s="46"/>
      <c r="E176" s="46"/>
      <c r="F176" s="46"/>
      <c r="G176" s="46"/>
      <c r="H176" s="46"/>
      <c r="I176" s="48">
        <f>IF(Source!F247=0, "", Source!F247)</f>
        <v>22101035.68</v>
      </c>
      <c r="J176" s="48"/>
    </row>
    <row r="177" spans="1:11" ht="14" x14ac:dyDescent="0.3">
      <c r="C177" s="46" t="str">
        <f>Source!H248</f>
        <v>Всего</v>
      </c>
      <c r="D177" s="46"/>
      <c r="E177" s="46"/>
      <c r="F177" s="46"/>
      <c r="G177" s="46"/>
      <c r="H177" s="46"/>
      <c r="I177" s="48">
        <f>IF(Source!F248=0, "", Source!F248)</f>
        <v>122560288.78</v>
      </c>
      <c r="J177" s="48"/>
    </row>
    <row r="180" spans="1:11" ht="14" x14ac:dyDescent="0.3">
      <c r="A180" s="56" t="s">
        <v>235</v>
      </c>
      <c r="B180" s="56"/>
      <c r="C180" s="32" t="str">
        <f>IF(Source!AC12&lt;&gt;"", Source!AC12," ")</f>
        <v xml:space="preserve"> </v>
      </c>
      <c r="D180" s="32"/>
      <c r="E180" s="32"/>
      <c r="F180" s="32"/>
      <c r="G180" s="32"/>
      <c r="H180" s="9" t="str">
        <f>IF(Source!AB12&lt;&gt;"", Source!AB12," ")</f>
        <v xml:space="preserve"> </v>
      </c>
      <c r="I180" s="9"/>
      <c r="J180" s="9"/>
      <c r="K180" s="9"/>
    </row>
    <row r="181" spans="1:11" ht="14" x14ac:dyDescent="0.3">
      <c r="A181" s="9"/>
      <c r="B181" s="9"/>
      <c r="C181" s="40" t="s">
        <v>236</v>
      </c>
      <c r="D181" s="40"/>
      <c r="E181" s="40"/>
      <c r="F181" s="40"/>
      <c r="G181" s="40"/>
      <c r="H181" s="9"/>
      <c r="I181" s="9"/>
      <c r="J181" s="9"/>
      <c r="K181" s="9"/>
    </row>
    <row r="182" spans="1:11" ht="14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</row>
    <row r="183" spans="1:11" ht="14" x14ac:dyDescent="0.3">
      <c r="A183" s="56" t="s">
        <v>237</v>
      </c>
      <c r="B183" s="56"/>
      <c r="C183" s="32" t="str">
        <f>IF(Source!AE12&lt;&gt;"", Source!AE12," ")</f>
        <v xml:space="preserve"> </v>
      </c>
      <c r="D183" s="32"/>
      <c r="E183" s="32"/>
      <c r="F183" s="32"/>
      <c r="G183" s="32"/>
      <c r="H183" s="9" t="str">
        <f>IF(Source!AD12&lt;&gt;"", Source!AD12," ")</f>
        <v xml:space="preserve"> </v>
      </c>
      <c r="I183" s="9"/>
      <c r="J183" s="9"/>
      <c r="K183" s="9"/>
    </row>
    <row r="184" spans="1:11" ht="14" x14ac:dyDescent="0.3">
      <c r="A184" s="9"/>
      <c r="B184" s="9"/>
      <c r="C184" s="40" t="s">
        <v>236</v>
      </c>
      <c r="D184" s="40"/>
      <c r="E184" s="40"/>
      <c r="F184" s="40"/>
      <c r="G184" s="40"/>
      <c r="H184" s="9"/>
      <c r="I184" s="9"/>
      <c r="J184" s="9"/>
      <c r="K184" s="9"/>
    </row>
  </sheetData>
  <mergeCells count="85">
    <mergeCell ref="A183:B183"/>
    <mergeCell ref="C184:G184"/>
    <mergeCell ref="C176:H176"/>
    <mergeCell ref="I176:J176"/>
    <mergeCell ref="C177:H177"/>
    <mergeCell ref="I177:J177"/>
    <mergeCell ref="A180:B180"/>
    <mergeCell ref="C181:G181"/>
    <mergeCell ref="C172:H172"/>
    <mergeCell ref="I172:J172"/>
    <mergeCell ref="I174:J174"/>
    <mergeCell ref="A174:H174"/>
    <mergeCell ref="C175:H175"/>
    <mergeCell ref="I175:J175"/>
    <mergeCell ref="I166:J166"/>
    <mergeCell ref="A166:H166"/>
    <mergeCell ref="I169:J169"/>
    <mergeCell ref="A169:H169"/>
    <mergeCell ref="C171:H171"/>
    <mergeCell ref="I171:J171"/>
    <mergeCell ref="A133:K133"/>
    <mergeCell ref="I140:J140"/>
    <mergeCell ref="I150:J150"/>
    <mergeCell ref="I161:J161"/>
    <mergeCell ref="I163:J163"/>
    <mergeCell ref="A163:H163"/>
    <mergeCell ref="I130:J130"/>
    <mergeCell ref="A130:H130"/>
    <mergeCell ref="I74:J74"/>
    <mergeCell ref="I84:J84"/>
    <mergeCell ref="I90:J90"/>
    <mergeCell ref="I99:J99"/>
    <mergeCell ref="I104:J104"/>
    <mergeCell ref="I106:J106"/>
    <mergeCell ref="A106:H106"/>
    <mergeCell ref="A109:K109"/>
    <mergeCell ref="I115:J115"/>
    <mergeCell ref="I121:J121"/>
    <mergeCell ref="I128:J128"/>
    <mergeCell ref="I67:J67"/>
    <mergeCell ref="G28:G30"/>
    <mergeCell ref="H28:H30"/>
    <mergeCell ref="I28:I30"/>
    <mergeCell ref="J28:J30"/>
    <mergeCell ref="A33:K33"/>
    <mergeCell ref="A35:K35"/>
    <mergeCell ref="A37:K37"/>
    <mergeCell ref="I42:J42"/>
    <mergeCell ref="I48:J48"/>
    <mergeCell ref="I55:J55"/>
    <mergeCell ref="I61:J61"/>
    <mergeCell ref="F26:H26"/>
    <mergeCell ref="I26:J26"/>
    <mergeCell ref="A28:A30"/>
    <mergeCell ref="B28:B30"/>
    <mergeCell ref="C28:C30"/>
    <mergeCell ref="D28:D30"/>
    <mergeCell ref="E28:E30"/>
    <mergeCell ref="F28:F30"/>
    <mergeCell ref="F23:H23"/>
    <mergeCell ref="I23:J23"/>
    <mergeCell ref="F24:H24"/>
    <mergeCell ref="I24:J24"/>
    <mergeCell ref="F25:H25"/>
    <mergeCell ref="I25:J25"/>
    <mergeCell ref="A17:K17"/>
    <mergeCell ref="A19:K19"/>
    <mergeCell ref="F21:H21"/>
    <mergeCell ref="I21:J21"/>
    <mergeCell ref="F22:H22"/>
    <mergeCell ref="I22:J22"/>
    <mergeCell ref="J2:K2"/>
    <mergeCell ref="A10:K10"/>
    <mergeCell ref="A11:K11"/>
    <mergeCell ref="A14:K14"/>
    <mergeCell ref="A16:K16"/>
    <mergeCell ref="A13:K13"/>
    <mergeCell ref="B3:E3"/>
    <mergeCell ref="G3:K3"/>
    <mergeCell ref="B4:E4"/>
    <mergeCell ref="G4:K4"/>
    <mergeCell ref="B6:E6"/>
    <mergeCell ref="G6:K6"/>
    <mergeCell ref="B7:E7"/>
    <mergeCell ref="G7:K7"/>
  </mergeCells>
  <pageMargins left="0.4" right="0.2" top="0.2" bottom="0.4" header="0.2" footer="0.2"/>
  <pageSetup paperSize="9" scale="64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94069-3188-4D68-A8E2-C97B2AF37352}">
  <sheetPr>
    <pageSetUpPr fitToPage="1"/>
  </sheetPr>
  <dimension ref="A1:F45"/>
  <sheetViews>
    <sheetView zoomScaleNormal="100" workbookViewId="0"/>
  </sheetViews>
  <sheetFormatPr defaultRowHeight="12.5" x14ac:dyDescent="0.25"/>
  <cols>
    <col min="1" max="2" width="6.54296875" customWidth="1"/>
    <col min="3" max="3" width="75.54296875" customWidth="1"/>
    <col min="4" max="6" width="15.54296875" customWidth="1"/>
    <col min="30" max="32" width="0" hidden="1" customWidth="1"/>
  </cols>
  <sheetData>
    <row r="1" spans="1:6" x14ac:dyDescent="0.25">
      <c r="A1" s="7" t="str">
        <f>Source!B1</f>
        <v>Smeta.RU Flash  (495) 974-1589</v>
      </c>
    </row>
    <row r="2" spans="1:6" ht="14" x14ac:dyDescent="0.3">
      <c r="D2" s="9"/>
      <c r="E2" s="9"/>
    </row>
    <row r="3" spans="1:6" ht="14" x14ac:dyDescent="0.3">
      <c r="D3" s="9"/>
      <c r="E3" s="25" t="s">
        <v>195</v>
      </c>
    </row>
    <row r="4" spans="1:6" ht="14" x14ac:dyDescent="0.3">
      <c r="D4" s="25"/>
      <c r="E4" s="25"/>
    </row>
    <row r="5" spans="1:6" ht="14" x14ac:dyDescent="0.3">
      <c r="D5" s="54" t="s">
        <v>238</v>
      </c>
      <c r="E5" s="54"/>
    </row>
    <row r="6" spans="1:6" ht="14" x14ac:dyDescent="0.3">
      <c r="D6" s="25"/>
      <c r="E6" s="25"/>
    </row>
    <row r="7" spans="1:6" ht="14" x14ac:dyDescent="0.3">
      <c r="D7" s="54" t="s">
        <v>238</v>
      </c>
      <c r="E7" s="54"/>
    </row>
    <row r="8" spans="1:6" ht="14" x14ac:dyDescent="0.3">
      <c r="D8" s="25"/>
      <c r="E8" s="25"/>
    </row>
    <row r="9" spans="1:6" ht="14" x14ac:dyDescent="0.3">
      <c r="D9" s="25" t="s">
        <v>239</v>
      </c>
      <c r="E9" s="9"/>
    </row>
    <row r="10" spans="1:6" ht="14" x14ac:dyDescent="0.3">
      <c r="D10" s="9"/>
      <c r="E10" s="9"/>
    </row>
    <row r="12" spans="1:6" ht="15.5" x14ac:dyDescent="0.25">
      <c r="B12" s="58" t="str">
        <f>CONCATENATE("Ведомость объемов работ ", IF(Source!AN15&lt;&gt;"", Source!AN15," "))</f>
        <v xml:space="preserve">Ведомость объемов работ  </v>
      </c>
      <c r="C12" s="58"/>
      <c r="D12" s="58"/>
      <c r="E12" s="58"/>
    </row>
    <row r="13" spans="1:6" ht="14" x14ac:dyDescent="0.25">
      <c r="B13" s="59" t="str">
        <f>Source!G12</f>
        <v>Зона 4</v>
      </c>
      <c r="C13" s="59"/>
      <c r="D13" s="59"/>
      <c r="E13" s="59"/>
    </row>
    <row r="14" spans="1:6" ht="14" x14ac:dyDescent="0.25">
      <c r="B14" s="59" t="str">
        <f>Source!G20</f>
        <v>Локальная смета: Зона №4</v>
      </c>
      <c r="C14" s="59"/>
      <c r="D14" s="59"/>
      <c r="E14" s="59"/>
    </row>
    <row r="16" spans="1:6" ht="28" x14ac:dyDescent="0.25">
      <c r="A16" s="16" t="s">
        <v>240</v>
      </c>
      <c r="B16" s="16" t="s">
        <v>241</v>
      </c>
      <c r="C16" s="16" t="s">
        <v>210</v>
      </c>
      <c r="D16" s="16" t="s">
        <v>211</v>
      </c>
      <c r="E16" s="16" t="s">
        <v>242</v>
      </c>
      <c r="F16" s="16" t="s">
        <v>243</v>
      </c>
    </row>
    <row r="17" spans="1:6" ht="14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</row>
    <row r="18" spans="1:6" ht="16.5" x14ac:dyDescent="0.35">
      <c r="A18" s="57" t="str">
        <f>CONCATENATE("Раздел: ", Source!G24)</f>
        <v>Раздел: Раздел: Основная зона</v>
      </c>
      <c r="B18" s="57"/>
      <c r="C18" s="57"/>
      <c r="D18" s="57"/>
      <c r="E18" s="57"/>
      <c r="F18" s="57"/>
    </row>
    <row r="19" spans="1:6" ht="16.5" x14ac:dyDescent="0.35">
      <c r="A19" s="57" t="str">
        <f>CONCATENATE("Подраздел: ", Source!G28)</f>
        <v xml:space="preserve">Подраздел: Подраздел: ЗИМНЯЯ УБОРКА </v>
      </c>
      <c r="B19" s="57"/>
      <c r="C19" s="57"/>
      <c r="D19" s="57"/>
      <c r="E19" s="57"/>
      <c r="F19" s="57"/>
    </row>
    <row r="20" spans="1:6" ht="14" x14ac:dyDescent="0.25">
      <c r="A20" s="16">
        <v>1</v>
      </c>
      <c r="B20" s="16" t="str">
        <f>Source!E32</f>
        <v>1</v>
      </c>
      <c r="C20" s="35" t="str">
        <f>Source!G32</f>
        <v>Уборка снега средствами малой механизации</v>
      </c>
      <c r="D20" s="16" t="s">
        <v>20</v>
      </c>
      <c r="E20" s="36">
        <f>Source!I32</f>
        <v>130.98945000000001</v>
      </c>
      <c r="F20" s="35"/>
    </row>
    <row r="21" spans="1:6" ht="14" x14ac:dyDescent="0.25">
      <c r="A21" s="16">
        <v>2</v>
      </c>
      <c r="B21" s="16" t="str">
        <f>Source!E33</f>
        <v>2</v>
      </c>
      <c r="C21" s="35" t="str">
        <f>Source!G33</f>
        <v>Уборка свежевыпавшего снега вручную толщиной слоя до 10 см</v>
      </c>
      <c r="D21" s="16" t="s">
        <v>29</v>
      </c>
      <c r="E21" s="36">
        <f>Source!I33</f>
        <v>327.47359999999998</v>
      </c>
      <c r="F21" s="35"/>
    </row>
    <row r="22" spans="1:6" ht="28" x14ac:dyDescent="0.25">
      <c r="A22" s="16">
        <v>3</v>
      </c>
      <c r="B22" s="16" t="str">
        <f>Source!E34</f>
        <v>3</v>
      </c>
      <c r="C22" s="35" t="str">
        <f>Source!G34</f>
        <v>Подметание тротуаров, придомовых и внутрибольничных проездов средствами малой механизации</v>
      </c>
      <c r="D22" s="16" t="s">
        <v>20</v>
      </c>
      <c r="E22" s="36">
        <f>Source!I34</f>
        <v>130.98945000000001</v>
      </c>
      <c r="F22" s="35"/>
    </row>
    <row r="23" spans="1:6" ht="14" x14ac:dyDescent="0.25">
      <c r="A23" s="16">
        <v>3.1</v>
      </c>
      <c r="B23" s="16" t="str">
        <f>Source!E35</f>
        <v>3,1</v>
      </c>
      <c r="C23" s="35" t="str">
        <f>Source!G35</f>
        <v>Вода</v>
      </c>
      <c r="D23" s="16" t="s">
        <v>38</v>
      </c>
      <c r="E23" s="36">
        <f>Source!I35</f>
        <v>-1440.8839499999999</v>
      </c>
      <c r="F23" s="35"/>
    </row>
    <row r="24" spans="1:6" ht="14" x14ac:dyDescent="0.25">
      <c r="A24" s="16">
        <v>4</v>
      </c>
      <c r="B24" s="16" t="str">
        <f>Source!E36</f>
        <v>4</v>
      </c>
      <c r="C24" s="35" t="str">
        <f>Source!G36</f>
        <v>Подметание вручную дорожек и площадок с твердым покрытием</v>
      </c>
      <c r="D24" s="16" t="s">
        <v>29</v>
      </c>
      <c r="E24" s="36">
        <f>Source!I36</f>
        <v>327.47359999999998</v>
      </c>
      <c r="F24" s="35"/>
    </row>
    <row r="25" spans="1:6" ht="28" x14ac:dyDescent="0.25">
      <c r="A25" s="16">
        <v>5</v>
      </c>
      <c r="B25" s="16" t="str">
        <f>Source!E37</f>
        <v>5</v>
      </c>
      <c r="C25" s="35" t="str">
        <f>Source!G37</f>
        <v>Подметание вручную дорожек и площадок с грунтовым и щебеночным покрытием</v>
      </c>
      <c r="D25" s="16" t="s">
        <v>29</v>
      </c>
      <c r="E25" s="36">
        <f>Source!I37</f>
        <v>128.0806</v>
      </c>
      <c r="F25" s="35"/>
    </row>
    <row r="26" spans="1:6" ht="28" x14ac:dyDescent="0.25">
      <c r="A26" s="16">
        <v>6</v>
      </c>
      <c r="B26" s="16" t="str">
        <f>Source!E38</f>
        <v>6</v>
      </c>
      <c r="C26" s="35" t="str">
        <f>Source!G38</f>
        <v>Посыпка противогололедными реагентами ХКНтв дорожных покрытий вручную</v>
      </c>
      <c r="D26" s="16" t="s">
        <v>29</v>
      </c>
      <c r="E26" s="36">
        <f>Source!I38</f>
        <v>327.47359999999998</v>
      </c>
      <c r="F26" s="35"/>
    </row>
    <row r="27" spans="1:6" ht="28" x14ac:dyDescent="0.25">
      <c r="A27" s="16">
        <v>7</v>
      </c>
      <c r="B27" s="16" t="str">
        <f>Source!E39</f>
        <v>7</v>
      </c>
      <c r="C27" s="35" t="str">
        <f>Source!G39</f>
        <v>Посыпка противогололедными реагентами дорожных покрытий средствами малой механизации</v>
      </c>
      <c r="D27" s="16" t="s">
        <v>20</v>
      </c>
      <c r="E27" s="36">
        <f>Source!I39</f>
        <v>130.98945000000001</v>
      </c>
      <c r="F27" s="35"/>
    </row>
    <row r="28" spans="1:6" ht="14" x14ac:dyDescent="0.25">
      <c r="A28" s="16">
        <v>8</v>
      </c>
      <c r="B28" s="16" t="str">
        <f>Source!E40</f>
        <v>8</v>
      </c>
      <c r="C28" s="35" t="str">
        <f>Source!G40</f>
        <v>Колка льда на обледеневших покрытиях вручную</v>
      </c>
      <c r="D28" s="16" t="s">
        <v>29</v>
      </c>
      <c r="E28" s="36">
        <f>Source!I40</f>
        <v>13.8942</v>
      </c>
      <c r="F28" s="35"/>
    </row>
    <row r="29" spans="1:6" ht="42" x14ac:dyDescent="0.25">
      <c r="A29" s="16">
        <v>9</v>
      </c>
      <c r="B29" s="16" t="str">
        <f>Source!E41</f>
        <v>9</v>
      </c>
      <c r="C29" s="35" t="str">
        <f>Source!G41</f>
        <v>Сбор и перемещение снега и скола к месту временного размещения механизированным способом, объем ковша погрузчика до 0,5 м3 - перемещение на 250 м (=163736,81*80%)*0,6*0,3</v>
      </c>
      <c r="D29" s="16" t="s">
        <v>38</v>
      </c>
      <c r="E29" s="36">
        <f>Source!I41</f>
        <v>23578</v>
      </c>
      <c r="F29" s="35"/>
    </row>
    <row r="30" spans="1:6" ht="14" x14ac:dyDescent="0.25">
      <c r="A30" s="16">
        <v>10</v>
      </c>
      <c r="B30" s="16" t="str">
        <f>Source!E42</f>
        <v>10</v>
      </c>
      <c r="C30" s="35" t="str">
        <f>Source!G42</f>
        <v>Погрузка снега средствами малой механизации</v>
      </c>
      <c r="D30" s="16" t="s">
        <v>38</v>
      </c>
      <c r="E30" s="36">
        <f>Source!I42</f>
        <v>23578</v>
      </c>
      <c r="F30" s="35"/>
    </row>
    <row r="31" spans="1:6" ht="16.5" x14ac:dyDescent="0.35">
      <c r="A31" s="57" t="str">
        <f>CONCATENATE("Подраздел: ", Source!G74)</f>
        <v xml:space="preserve">Подраздел: Подраздел: ЛЕТНЯЯ УБОРКА </v>
      </c>
      <c r="B31" s="57"/>
      <c r="C31" s="57"/>
      <c r="D31" s="57"/>
      <c r="E31" s="57"/>
      <c r="F31" s="57"/>
    </row>
    <row r="32" spans="1:6" ht="28" x14ac:dyDescent="0.25">
      <c r="A32" s="16">
        <v>11</v>
      </c>
      <c r="B32" s="16" t="str">
        <f>Source!E78</f>
        <v>11</v>
      </c>
      <c r="C32" s="35" t="str">
        <f>Source!G78</f>
        <v>Подметание тротуаров, придомовых и внутрибольничных проездов средствами малой механизации</v>
      </c>
      <c r="D32" s="16" t="s">
        <v>20</v>
      </c>
      <c r="E32" s="36">
        <f>Source!I78</f>
        <v>130.98945000000001</v>
      </c>
      <c r="F32" s="35"/>
    </row>
    <row r="33" spans="1:6" ht="14" x14ac:dyDescent="0.25">
      <c r="A33" s="16">
        <v>12</v>
      </c>
      <c r="B33" s="16" t="str">
        <f>Source!E79</f>
        <v>12</v>
      </c>
      <c r="C33" s="35" t="str">
        <f>Source!G79</f>
        <v>Подметание вручную дорожек и площадок с твердым покрытием</v>
      </c>
      <c r="D33" s="16" t="s">
        <v>29</v>
      </c>
      <c r="E33" s="36">
        <f>Source!I79</f>
        <v>327.47359999999998</v>
      </c>
      <c r="F33" s="35"/>
    </row>
    <row r="34" spans="1:6" ht="28" x14ac:dyDescent="0.25">
      <c r="A34" s="16">
        <v>13</v>
      </c>
      <c r="B34" s="16" t="str">
        <f>Source!E81</f>
        <v>13</v>
      </c>
      <c r="C34" s="35" t="str">
        <f>Source!G81</f>
        <v>Полив тротуаров, придомовых и внутрибольничных проездов средствами малой механизации</v>
      </c>
      <c r="D34" s="16" t="s">
        <v>20</v>
      </c>
      <c r="E34" s="36">
        <f>Source!I81</f>
        <v>163.73680999999999</v>
      </c>
      <c r="F34" s="35"/>
    </row>
    <row r="35" spans="1:6" ht="14" x14ac:dyDescent="0.25">
      <c r="A35" s="16">
        <v>13.1</v>
      </c>
      <c r="B35" s="16" t="str">
        <f>Source!E82</f>
        <v>13,1</v>
      </c>
      <c r="C35" s="35" t="str">
        <f>Source!G82</f>
        <v>Вода</v>
      </c>
      <c r="D35" s="16" t="s">
        <v>38</v>
      </c>
      <c r="E35" s="36">
        <f>Source!I82</f>
        <v>-802.31036900000004</v>
      </c>
      <c r="F35" s="35"/>
    </row>
    <row r="36" spans="1:6" ht="16.5" x14ac:dyDescent="0.35">
      <c r="A36" s="57" t="str">
        <f>CONCATENATE("Подраздел: ", Source!G116)</f>
        <v>Подраздел: Подраздел: УХОД ЗА ЗЕЛЕНЫМИ НАСАЖДЕНИЯМИ</v>
      </c>
      <c r="B36" s="57"/>
      <c r="C36" s="57"/>
      <c r="D36" s="57"/>
      <c r="E36" s="57"/>
      <c r="F36" s="57"/>
    </row>
    <row r="37" spans="1:6" ht="14" x14ac:dyDescent="0.25">
      <c r="A37" s="16">
        <v>14</v>
      </c>
      <c r="B37" s="16" t="str">
        <f>Source!E120</f>
        <v>14</v>
      </c>
      <c r="C37" s="35" t="str">
        <f>Source!G120</f>
        <v>Сбор случайного мусора по территории</v>
      </c>
      <c r="D37" s="16" t="s">
        <v>29</v>
      </c>
      <c r="E37" s="36">
        <f>Source!I120</f>
        <v>850.19770000000005</v>
      </c>
      <c r="F37" s="35"/>
    </row>
    <row r="38" spans="1:6" ht="14" x14ac:dyDescent="0.25">
      <c r="A38" s="16">
        <v>15</v>
      </c>
      <c r="B38" s="16" t="str">
        <f>Source!E121</f>
        <v>15</v>
      </c>
      <c r="C38" s="35" t="str">
        <f>Source!G121</f>
        <v>Выкашивание газонов газонокосилкой</v>
      </c>
      <c r="D38" s="16" t="s">
        <v>29</v>
      </c>
      <c r="E38" s="36">
        <f>Source!I121</f>
        <v>1700.3954000000001</v>
      </c>
      <c r="F38" s="35"/>
    </row>
    <row r="39" spans="1:6" ht="14" x14ac:dyDescent="0.25">
      <c r="A39" s="16">
        <v>16</v>
      </c>
      <c r="B39" s="16" t="str">
        <f>Source!E122</f>
        <v>16</v>
      </c>
      <c r="C39" s="35" t="str">
        <f>Source!G122</f>
        <v>Полив зеленых насаждений из шланга поливомоечной машины</v>
      </c>
      <c r="D39" s="16" t="s">
        <v>38</v>
      </c>
      <c r="E39" s="36">
        <f>Source!I122</f>
        <v>969.78399999999999</v>
      </c>
      <c r="F39" s="35"/>
    </row>
    <row r="40" spans="1:6" ht="14" x14ac:dyDescent="0.25">
      <c r="A40" s="18">
        <v>16.100000000000001</v>
      </c>
      <c r="B40" s="18" t="str">
        <f>Source!E123</f>
        <v>16,1</v>
      </c>
      <c r="C40" s="33" t="str">
        <f>Source!G123</f>
        <v>Вода</v>
      </c>
      <c r="D40" s="18" t="s">
        <v>38</v>
      </c>
      <c r="E40" s="34">
        <f>Source!I123</f>
        <v>-1939.568</v>
      </c>
      <c r="F40" s="33"/>
    </row>
    <row r="43" spans="1:6" ht="14" x14ac:dyDescent="0.3">
      <c r="C43" s="37" t="s">
        <v>244</v>
      </c>
      <c r="D43" s="37" t="str">
        <f>IF(Source!X12&lt;&gt;"", Source!X12," ")</f>
        <v xml:space="preserve"> </v>
      </c>
      <c r="E43" s="29"/>
    </row>
    <row r="44" spans="1:6" ht="14" x14ac:dyDescent="0.3">
      <c r="C44" s="9"/>
      <c r="D44" s="29"/>
      <c r="E44" s="29"/>
    </row>
    <row r="45" spans="1:6" ht="14" x14ac:dyDescent="0.3">
      <c r="C45" s="37" t="s">
        <v>245</v>
      </c>
      <c r="D45" s="37" t="str">
        <f>IF(Source!AB12&lt;&gt;"", Source!AB12," ")</f>
        <v xml:space="preserve"> </v>
      </c>
      <c r="E45" s="29"/>
    </row>
  </sheetData>
  <mergeCells count="9">
    <mergeCell ref="A19:F19"/>
    <mergeCell ref="A31:F31"/>
    <mergeCell ref="A36:F36"/>
    <mergeCell ref="D5:E5"/>
    <mergeCell ref="D7:E7"/>
    <mergeCell ref="B12:E12"/>
    <mergeCell ref="B13:E13"/>
    <mergeCell ref="B14:E14"/>
    <mergeCell ref="A18:F18"/>
  </mergeCells>
  <pageMargins left="0.4" right="0.2" top="0.2" bottom="0.4" header="0.2" footer="0.2"/>
  <pageSetup paperSize="9" scale="73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A6DD7-826A-4CC2-9E53-77A3D9FD8F98}">
  <dimension ref="A1:IK257"/>
  <sheetViews>
    <sheetView topLeftCell="A202" workbookViewId="0">
      <selection activeCell="F248" sqref="F248"/>
    </sheetView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253</v>
      </c>
      <c r="C12" s="1">
        <v>0</v>
      </c>
      <c r="D12" s="1">
        <f>ROW(A217)</f>
        <v>217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ht="13" x14ac:dyDescent="0.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ht="13" x14ac:dyDescent="0.3">
      <c r="A18" s="2">
        <v>52</v>
      </c>
      <c r="B18" s="2">
        <f t="shared" ref="B18:G18" si="0">B217</f>
        <v>253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Зона 4</v>
      </c>
      <c r="H18" s="2"/>
      <c r="I18" s="2"/>
      <c r="J18" s="2"/>
      <c r="K18" s="2"/>
      <c r="L18" s="2"/>
      <c r="M18" s="2"/>
      <c r="N18" s="2"/>
      <c r="O18" s="2">
        <f t="shared" ref="O18:AT18" si="1">O217</f>
        <v>65223312.240000002</v>
      </c>
      <c r="P18" s="2">
        <f t="shared" si="1"/>
        <v>4608071.09</v>
      </c>
      <c r="Q18" s="2">
        <f t="shared" si="1"/>
        <v>41758623.619999997</v>
      </c>
      <c r="R18" s="2">
        <f t="shared" si="1"/>
        <v>18658006.329999998</v>
      </c>
      <c r="S18" s="2">
        <f t="shared" si="1"/>
        <v>18856617.530000001</v>
      </c>
      <c r="T18" s="2">
        <f t="shared" si="1"/>
        <v>0</v>
      </c>
      <c r="U18" s="2">
        <f t="shared" si="1"/>
        <v>41819.844603999998</v>
      </c>
      <c r="V18" s="2">
        <f t="shared" si="1"/>
        <v>0</v>
      </c>
      <c r="W18" s="2">
        <f t="shared" si="1"/>
        <v>0</v>
      </c>
      <c r="X18" s="2">
        <f t="shared" si="1"/>
        <v>13199632.27</v>
      </c>
      <c r="Y18" s="2">
        <f t="shared" si="1"/>
        <v>1885661.77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100459253.09999999</v>
      </c>
      <c r="AS18" s="2">
        <f t="shared" si="1"/>
        <v>0</v>
      </c>
      <c r="AT18" s="2">
        <f t="shared" si="1"/>
        <v>0</v>
      </c>
      <c r="AU18" s="2">
        <f t="shared" ref="AU18:BZ18" si="2">AU217</f>
        <v>100459253.09999999</v>
      </c>
      <c r="AV18" s="2">
        <f t="shared" si="2"/>
        <v>4608071.09</v>
      </c>
      <c r="AW18" s="2">
        <f t="shared" si="2"/>
        <v>4608071.09</v>
      </c>
      <c r="AX18" s="2">
        <f t="shared" si="2"/>
        <v>0</v>
      </c>
      <c r="AY18" s="2">
        <f t="shared" si="2"/>
        <v>4608071.09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CA217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DG217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EM217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FS217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ht="13" x14ac:dyDescent="0.3">
      <c r="A20" s="1">
        <v>3</v>
      </c>
      <c r="B20" s="1">
        <v>1</v>
      </c>
      <c r="C20" s="1"/>
      <c r="D20" s="1">
        <f>ROW(A185)</f>
        <v>185</v>
      </c>
      <c r="E20" s="1"/>
      <c r="F20" s="1" t="s">
        <v>12</v>
      </c>
      <c r="G20" s="1" t="s">
        <v>13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ht="13" x14ac:dyDescent="0.3">
      <c r="A22" s="2">
        <v>52</v>
      </c>
      <c r="B22" s="2">
        <f t="shared" ref="B22:G22" si="7">B185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Локальная смета: Зона №4</v>
      </c>
      <c r="H22" s="2"/>
      <c r="I22" s="2"/>
      <c r="J22" s="2"/>
      <c r="K22" s="2"/>
      <c r="L22" s="2"/>
      <c r="M22" s="2"/>
      <c r="N22" s="2"/>
      <c r="O22" s="2">
        <f t="shared" ref="O22:AT22" si="8">O185</f>
        <v>65223312.240000002</v>
      </c>
      <c r="P22" s="2">
        <f t="shared" si="8"/>
        <v>4608071.09</v>
      </c>
      <c r="Q22" s="2">
        <f t="shared" si="8"/>
        <v>41758623.619999997</v>
      </c>
      <c r="R22" s="2">
        <f t="shared" si="8"/>
        <v>18658006.329999998</v>
      </c>
      <c r="S22" s="2">
        <f t="shared" si="8"/>
        <v>18856617.530000001</v>
      </c>
      <c r="T22" s="2">
        <f t="shared" si="8"/>
        <v>0</v>
      </c>
      <c r="U22" s="2">
        <f t="shared" si="8"/>
        <v>41819.844603999998</v>
      </c>
      <c r="V22" s="2">
        <f t="shared" si="8"/>
        <v>0</v>
      </c>
      <c r="W22" s="2">
        <f t="shared" si="8"/>
        <v>0</v>
      </c>
      <c r="X22" s="2">
        <f t="shared" si="8"/>
        <v>13199632.27</v>
      </c>
      <c r="Y22" s="2">
        <f t="shared" si="8"/>
        <v>1885661.77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100459253.09999999</v>
      </c>
      <c r="AS22" s="2">
        <f t="shared" si="8"/>
        <v>0</v>
      </c>
      <c r="AT22" s="2">
        <f t="shared" si="8"/>
        <v>0</v>
      </c>
      <c r="AU22" s="2">
        <f t="shared" ref="AU22:BZ22" si="9">AU185</f>
        <v>100459253.09999999</v>
      </c>
      <c r="AV22" s="2">
        <f t="shared" si="9"/>
        <v>4608071.09</v>
      </c>
      <c r="AW22" s="2">
        <f t="shared" si="9"/>
        <v>4608071.09</v>
      </c>
      <c r="AX22" s="2">
        <f t="shared" si="9"/>
        <v>0</v>
      </c>
      <c r="AY22" s="2">
        <f t="shared" si="9"/>
        <v>4608071.09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CA185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DG185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EM185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FS185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ht="13" x14ac:dyDescent="0.3">
      <c r="A24" s="1">
        <v>4</v>
      </c>
      <c r="B24" s="1">
        <v>1</v>
      </c>
      <c r="C24" s="1"/>
      <c r="D24" s="1">
        <f>ROW(A155)</f>
        <v>155</v>
      </c>
      <c r="E24" s="1"/>
      <c r="F24" s="1" t="s">
        <v>14</v>
      </c>
      <c r="G24" s="1" t="s">
        <v>15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ht="13" x14ac:dyDescent="0.3">
      <c r="A26" s="2">
        <v>52</v>
      </c>
      <c r="B26" s="2">
        <f t="shared" ref="B26:G26" si="14">B155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Раздел: Основная зона</v>
      </c>
      <c r="H26" s="2"/>
      <c r="I26" s="2"/>
      <c r="J26" s="2"/>
      <c r="K26" s="2"/>
      <c r="L26" s="2"/>
      <c r="M26" s="2"/>
      <c r="N26" s="2"/>
      <c r="O26" s="2">
        <f t="shared" ref="O26:AT26" si="15">O155</f>
        <v>65223312.240000002</v>
      </c>
      <c r="P26" s="2">
        <f t="shared" si="15"/>
        <v>4608071.09</v>
      </c>
      <c r="Q26" s="2">
        <f t="shared" si="15"/>
        <v>41758623.619999997</v>
      </c>
      <c r="R26" s="2">
        <f t="shared" si="15"/>
        <v>18658006.329999998</v>
      </c>
      <c r="S26" s="2">
        <f t="shared" si="15"/>
        <v>18856617.530000001</v>
      </c>
      <c r="T26" s="2">
        <f t="shared" si="15"/>
        <v>0</v>
      </c>
      <c r="U26" s="2">
        <f t="shared" si="15"/>
        <v>41819.844603999998</v>
      </c>
      <c r="V26" s="2">
        <f t="shared" si="15"/>
        <v>0</v>
      </c>
      <c r="W26" s="2">
        <f t="shared" si="15"/>
        <v>0</v>
      </c>
      <c r="X26" s="2">
        <f t="shared" si="15"/>
        <v>13199632.27</v>
      </c>
      <c r="Y26" s="2">
        <f t="shared" si="15"/>
        <v>1885661.77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100459253.09999999</v>
      </c>
      <c r="AS26" s="2">
        <f t="shared" si="15"/>
        <v>0</v>
      </c>
      <c r="AT26" s="2">
        <f t="shared" si="15"/>
        <v>0</v>
      </c>
      <c r="AU26" s="2">
        <f t="shared" ref="AU26:BZ26" si="16">AU155</f>
        <v>100459253.09999999</v>
      </c>
      <c r="AV26" s="2">
        <f t="shared" si="16"/>
        <v>4608071.09</v>
      </c>
      <c r="AW26" s="2">
        <f t="shared" si="16"/>
        <v>4608071.09</v>
      </c>
      <c r="AX26" s="2">
        <f t="shared" si="16"/>
        <v>0</v>
      </c>
      <c r="AY26" s="2">
        <f t="shared" si="16"/>
        <v>4608071.09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CA155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DG155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EM155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FS155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ht="13" x14ac:dyDescent="0.3">
      <c r="A28" s="1">
        <v>5</v>
      </c>
      <c r="B28" s="1">
        <v>1</v>
      </c>
      <c r="C28" s="1"/>
      <c r="D28" s="1">
        <f>ROW(A44)</f>
        <v>44</v>
      </c>
      <c r="E28" s="1"/>
      <c r="F28" s="1" t="s">
        <v>16</v>
      </c>
      <c r="G28" s="1" t="s">
        <v>246</v>
      </c>
      <c r="H28" s="1" t="s">
        <v>3</v>
      </c>
      <c r="I28" s="1">
        <v>0</v>
      </c>
      <c r="J28" s="1"/>
      <c r="K28" s="1">
        <v>0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ht="13" x14ac:dyDescent="0.3">
      <c r="A30" s="2">
        <v>52</v>
      </c>
      <c r="B30" s="2">
        <f t="shared" ref="B30:G30" si="21">B44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 xml:space="preserve">Подраздел: ЗИМНЯЯ УБОРКА </v>
      </c>
      <c r="H30" s="2"/>
      <c r="I30" s="2"/>
      <c r="J30" s="2"/>
      <c r="K30" s="2"/>
      <c r="L30" s="2"/>
      <c r="M30" s="2"/>
      <c r="N30" s="2"/>
      <c r="O30" s="2">
        <f t="shared" ref="O30:AT30" si="22">O44</f>
        <v>50783916.530000001</v>
      </c>
      <c r="P30" s="2">
        <f t="shared" si="22"/>
        <v>4470000.51</v>
      </c>
      <c r="Q30" s="2">
        <f t="shared" si="22"/>
        <v>34081346.579999998</v>
      </c>
      <c r="R30" s="2">
        <f t="shared" si="22"/>
        <v>15328812.33</v>
      </c>
      <c r="S30" s="2">
        <f t="shared" si="22"/>
        <v>12232569.439999999</v>
      </c>
      <c r="T30" s="2">
        <f t="shared" si="22"/>
        <v>0</v>
      </c>
      <c r="U30" s="2">
        <f t="shared" si="22"/>
        <v>26995.33944</v>
      </c>
      <c r="V30" s="2">
        <f t="shared" si="22"/>
        <v>0</v>
      </c>
      <c r="W30" s="2">
        <f t="shared" si="22"/>
        <v>0</v>
      </c>
      <c r="X30" s="2">
        <f t="shared" si="22"/>
        <v>8562798.5999999996</v>
      </c>
      <c r="Y30" s="2">
        <f t="shared" si="22"/>
        <v>1223256.95</v>
      </c>
      <c r="Z30" s="2">
        <f t="shared" si="22"/>
        <v>0</v>
      </c>
      <c r="AA30" s="2">
        <f t="shared" si="22"/>
        <v>0</v>
      </c>
      <c r="AB30" s="2">
        <f t="shared" si="22"/>
        <v>50783916.530000001</v>
      </c>
      <c r="AC30" s="2">
        <f t="shared" si="22"/>
        <v>4470000.51</v>
      </c>
      <c r="AD30" s="2">
        <f t="shared" si="22"/>
        <v>34081346.579999998</v>
      </c>
      <c r="AE30" s="2">
        <f t="shared" si="22"/>
        <v>15328812.33</v>
      </c>
      <c r="AF30" s="2">
        <f t="shared" si="22"/>
        <v>12232569.439999999</v>
      </c>
      <c r="AG30" s="2">
        <f t="shared" si="22"/>
        <v>0</v>
      </c>
      <c r="AH30" s="2">
        <f t="shared" si="22"/>
        <v>26995.33944</v>
      </c>
      <c r="AI30" s="2">
        <f t="shared" si="22"/>
        <v>0</v>
      </c>
      <c r="AJ30" s="2">
        <f t="shared" si="22"/>
        <v>0</v>
      </c>
      <c r="AK30" s="2">
        <f t="shared" si="22"/>
        <v>8562798.5999999996</v>
      </c>
      <c r="AL30" s="2">
        <f t="shared" si="22"/>
        <v>1223256.95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77125089.390000001</v>
      </c>
      <c r="AS30" s="2">
        <f t="shared" si="22"/>
        <v>0</v>
      </c>
      <c r="AT30" s="2">
        <f t="shared" si="22"/>
        <v>0</v>
      </c>
      <c r="AU30" s="2">
        <f t="shared" ref="AU30:BZ30" si="23">AU44</f>
        <v>77125089.390000001</v>
      </c>
      <c r="AV30" s="2">
        <f t="shared" si="23"/>
        <v>4470000.51</v>
      </c>
      <c r="AW30" s="2">
        <f t="shared" si="23"/>
        <v>4470000.51</v>
      </c>
      <c r="AX30" s="2">
        <f t="shared" si="23"/>
        <v>0</v>
      </c>
      <c r="AY30" s="2">
        <f t="shared" si="23"/>
        <v>4470000.51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CA44</f>
        <v>77125089.390000001</v>
      </c>
      <c r="CB30" s="2">
        <f t="shared" si="24"/>
        <v>0</v>
      </c>
      <c r="CC30" s="2">
        <f t="shared" si="24"/>
        <v>0</v>
      </c>
      <c r="CD30" s="2">
        <f t="shared" si="24"/>
        <v>77125089.390000001</v>
      </c>
      <c r="CE30" s="2">
        <f t="shared" si="24"/>
        <v>4470000.51</v>
      </c>
      <c r="CF30" s="2">
        <f t="shared" si="24"/>
        <v>4470000.51</v>
      </c>
      <c r="CG30" s="2">
        <f t="shared" si="24"/>
        <v>0</v>
      </c>
      <c r="CH30" s="2">
        <f t="shared" si="24"/>
        <v>4470000.51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DG44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EM44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FS44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5">
      <c r="A32">
        <v>17</v>
      </c>
      <c r="B32">
        <v>1</v>
      </c>
      <c r="C32">
        <f>ROW(SmtRes!A1)</f>
        <v>1</v>
      </c>
      <c r="D32">
        <f>ROW(EtalonRes!A1)</f>
        <v>1</v>
      </c>
      <c r="E32" t="s">
        <v>17</v>
      </c>
      <c r="F32" t="s">
        <v>18</v>
      </c>
      <c r="G32" t="s">
        <v>19</v>
      </c>
      <c r="H32" t="s">
        <v>20</v>
      </c>
      <c r="I32">
        <v>130.98945000000001</v>
      </c>
      <c r="J32">
        <v>0</v>
      </c>
      <c r="K32">
        <v>130.98945000000001</v>
      </c>
      <c r="O32">
        <f t="shared" ref="O32:O42" si="28">ROUND(CP32,2)</f>
        <v>9063088</v>
      </c>
      <c r="P32">
        <f t="shared" ref="P32:P42" si="29">ROUND(CQ32*I32,2)</f>
        <v>0</v>
      </c>
      <c r="Q32">
        <f t="shared" ref="Q32:Q42" si="30">ROUND(CR32*I32,2)</f>
        <v>9063088</v>
      </c>
      <c r="R32">
        <f t="shared" ref="R32:R42" si="31">ROUND(CS32*I32,2)</f>
        <v>3144657.18</v>
      </c>
      <c r="S32">
        <f t="shared" ref="S32:S42" si="32">ROUND(CT32*I32,2)</f>
        <v>0</v>
      </c>
      <c r="T32">
        <f t="shared" ref="T32:T42" si="33">ROUND(CU32*I32,2)</f>
        <v>0</v>
      </c>
      <c r="U32">
        <f t="shared" ref="U32:U42" si="34">CV32*I32</f>
        <v>0</v>
      </c>
      <c r="V32">
        <f t="shared" ref="V32:V42" si="35">CW32*I32</f>
        <v>0</v>
      </c>
      <c r="W32">
        <f t="shared" ref="W32:W42" si="36">ROUND(CX32*I32,2)</f>
        <v>0</v>
      </c>
      <c r="X32">
        <f t="shared" ref="X32:X42" si="37">ROUND(CY32,2)</f>
        <v>0</v>
      </c>
      <c r="Y32">
        <f t="shared" ref="Y32:Y42" si="38">ROUND(CZ32,2)</f>
        <v>0</v>
      </c>
      <c r="AA32">
        <v>80889179</v>
      </c>
      <c r="AB32">
        <f t="shared" ref="AB32:AB42" si="39">ROUND((AC32+AD32+AF32),6)</f>
        <v>69189.45</v>
      </c>
      <c r="AC32">
        <f>ROUND(((ES32*55)),6)</f>
        <v>0</v>
      </c>
      <c r="AD32">
        <f>ROUND(((((ET32*55))-((EU32*55)))+AE32),6)</f>
        <v>69189.45</v>
      </c>
      <c r="AE32">
        <f t="shared" ref="AE32:AF34" si="40">ROUND(((EU32*55)),6)</f>
        <v>24006.95</v>
      </c>
      <c r="AF32">
        <f t="shared" si="40"/>
        <v>0</v>
      </c>
      <c r="AG32">
        <f t="shared" ref="AG32:AG42" si="41">ROUND((AP32),6)</f>
        <v>0</v>
      </c>
      <c r="AH32">
        <f t="shared" ref="AH32:AI34" si="42">((EW32*55))</f>
        <v>0</v>
      </c>
      <c r="AI32">
        <f t="shared" si="42"/>
        <v>0</v>
      </c>
      <c r="AJ32">
        <f t="shared" ref="AJ32:AJ42" si="43">(AS32)</f>
        <v>0</v>
      </c>
      <c r="AK32">
        <v>1257.99</v>
      </c>
      <c r="AL32">
        <v>0</v>
      </c>
      <c r="AM32">
        <v>1257.99</v>
      </c>
      <c r="AN32">
        <v>436.49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21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42" si="44">(P32+Q32+S32)</f>
        <v>9063088</v>
      </c>
      <c r="CQ32">
        <f t="shared" ref="CQ32:CQ42" si="45">(AC32*BC32*AW32)</f>
        <v>0</v>
      </c>
      <c r="CR32">
        <f>(((((ET32*55))*BB32-((EU32*55))*BS32)+AE32*BS32)*AV32)</f>
        <v>69189.45</v>
      </c>
      <c r="CS32">
        <f t="shared" ref="CS32:CS42" si="46">(AE32*BS32*AV32)</f>
        <v>24006.95</v>
      </c>
      <c r="CT32">
        <f t="shared" ref="CT32:CT42" si="47">(AF32*BA32*AV32)</f>
        <v>0</v>
      </c>
      <c r="CU32">
        <f t="shared" ref="CU32:CU42" si="48">AG32</f>
        <v>0</v>
      </c>
      <c r="CV32">
        <f t="shared" ref="CV32:CV42" si="49">(AH32*AV32)</f>
        <v>0</v>
      </c>
      <c r="CW32">
        <f t="shared" ref="CW32:CW42" si="50">AI32</f>
        <v>0</v>
      </c>
      <c r="CX32">
        <f t="shared" ref="CX32:CX42" si="51">AJ32</f>
        <v>0</v>
      </c>
      <c r="CY32">
        <f t="shared" ref="CY32:CY42" si="52">((S32*BZ32)/100)</f>
        <v>0</v>
      </c>
      <c r="CZ32">
        <f t="shared" ref="CZ32:CZ42" si="53">((S32*CA32)/100)</f>
        <v>0</v>
      </c>
      <c r="DC32" t="s">
        <v>3</v>
      </c>
      <c r="DD32" t="s">
        <v>22</v>
      </c>
      <c r="DE32" t="s">
        <v>22</v>
      </c>
      <c r="DF32" t="s">
        <v>22</v>
      </c>
      <c r="DG32" t="s">
        <v>22</v>
      </c>
      <c r="DH32" t="s">
        <v>3</v>
      </c>
      <c r="DI32" t="s">
        <v>22</v>
      </c>
      <c r="DJ32" t="s">
        <v>22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20</v>
      </c>
      <c r="DW32" t="s">
        <v>20</v>
      </c>
      <c r="DX32">
        <v>1000</v>
      </c>
      <c r="DZ32" t="s">
        <v>3</v>
      </c>
      <c r="EA32" t="s">
        <v>3</v>
      </c>
      <c r="EB32" t="s">
        <v>3</v>
      </c>
      <c r="EC32" t="s">
        <v>3</v>
      </c>
      <c r="EE32">
        <v>80196140</v>
      </c>
      <c r="EF32">
        <v>1</v>
      </c>
      <c r="EG32" t="s">
        <v>23</v>
      </c>
      <c r="EH32">
        <v>0</v>
      </c>
      <c r="EI32" t="s">
        <v>3</v>
      </c>
      <c r="EJ32">
        <v>4</v>
      </c>
      <c r="EK32">
        <v>0</v>
      </c>
      <c r="EL32" t="s">
        <v>24</v>
      </c>
      <c r="EM32" t="s">
        <v>25</v>
      </c>
      <c r="EO32" t="s">
        <v>3</v>
      </c>
      <c r="EQ32">
        <v>0</v>
      </c>
      <c r="ER32">
        <v>1257.99</v>
      </c>
      <c r="ES32">
        <v>0</v>
      </c>
      <c r="ET32">
        <v>1257.99</v>
      </c>
      <c r="EU32">
        <v>436.49</v>
      </c>
      <c r="EV32">
        <v>0</v>
      </c>
      <c r="EW32">
        <v>0</v>
      </c>
      <c r="EX32">
        <v>0</v>
      </c>
      <c r="EY32">
        <v>0</v>
      </c>
      <c r="FQ32">
        <v>0</v>
      </c>
      <c r="FR32"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-459785160</v>
      </c>
      <c r="GG32">
        <v>2</v>
      </c>
      <c r="GH32">
        <v>1</v>
      </c>
      <c r="GI32">
        <v>-2</v>
      </c>
      <c r="GJ32">
        <v>0</v>
      </c>
      <c r="GK32">
        <f>ROUND(R32*(R12)/100,2)</f>
        <v>3396229.75</v>
      </c>
      <c r="GL32">
        <f t="shared" ref="GL32:GL42" si="54">ROUND(IF(AND(BH32=3,BI32=3,FS32&lt;&gt;0),P32,0),2)</f>
        <v>0</v>
      </c>
      <c r="GM32">
        <f t="shared" ref="GM32:GM42" si="55">ROUND(O32+X32+Y32+GK32,2)+GX32</f>
        <v>12459317.75</v>
      </c>
      <c r="GN32">
        <f t="shared" ref="GN32:GN42" si="56">IF(OR(BI32=0,BI32=1),GM32-GX32,0)</f>
        <v>0</v>
      </c>
      <c r="GO32">
        <f t="shared" ref="GO32:GO42" si="57">IF(BI32=2,GM32-GX32,0)</f>
        <v>0</v>
      </c>
      <c r="GP32">
        <f t="shared" ref="GP32:GP42" si="58">IF(BI32=4,GM32-GX32,0)</f>
        <v>12459317.75</v>
      </c>
      <c r="GR32">
        <v>0</v>
      </c>
      <c r="GS32">
        <v>3</v>
      </c>
      <c r="GT32">
        <v>0</v>
      </c>
      <c r="GU32" t="s">
        <v>3</v>
      </c>
      <c r="GV32">
        <f t="shared" ref="GV32:GV42" si="59">ROUND((GT32),6)</f>
        <v>0</v>
      </c>
      <c r="GW32">
        <v>1</v>
      </c>
      <c r="GX32">
        <f t="shared" ref="GX32:GX42" si="60">ROUND(HC32*I32,2)</f>
        <v>0</v>
      </c>
      <c r="HA32">
        <v>0</v>
      </c>
      <c r="HB32">
        <v>0</v>
      </c>
      <c r="HC32">
        <f t="shared" ref="HC32:HC42" si="61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HS32">
        <v>0</v>
      </c>
      <c r="IK32">
        <v>0</v>
      </c>
    </row>
    <row r="33" spans="1:245" x14ac:dyDescent="0.25">
      <c r="A33">
        <v>17</v>
      </c>
      <c r="B33">
        <v>1</v>
      </c>
      <c r="C33">
        <f>ROW(SmtRes!A2)</f>
        <v>2</v>
      </c>
      <c r="D33">
        <f>ROW(EtalonRes!A2)</f>
        <v>2</v>
      </c>
      <c r="E33" t="s">
        <v>26</v>
      </c>
      <c r="F33" t="s">
        <v>27</v>
      </c>
      <c r="G33" t="s">
        <v>28</v>
      </c>
      <c r="H33" t="s">
        <v>29</v>
      </c>
      <c r="I33">
        <v>327.47359999999998</v>
      </c>
      <c r="J33">
        <v>0</v>
      </c>
      <c r="K33">
        <v>327.47359999999998</v>
      </c>
      <c r="O33">
        <f t="shared" si="28"/>
        <v>5304974.08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5304974.08</v>
      </c>
      <c r="T33">
        <f t="shared" si="33"/>
        <v>0</v>
      </c>
      <c r="U33">
        <f t="shared" si="34"/>
        <v>11707.181199999999</v>
      </c>
      <c r="V33">
        <f t="shared" si="35"/>
        <v>0</v>
      </c>
      <c r="W33">
        <f t="shared" si="36"/>
        <v>0</v>
      </c>
      <c r="X33">
        <f t="shared" si="37"/>
        <v>3713481.86</v>
      </c>
      <c r="Y33">
        <f t="shared" si="38"/>
        <v>530497.41</v>
      </c>
      <c r="AA33">
        <v>80889179</v>
      </c>
      <c r="AB33">
        <f t="shared" si="39"/>
        <v>16199.7</v>
      </c>
      <c r="AC33">
        <f>ROUND(((ES33*55)),6)</f>
        <v>0</v>
      </c>
      <c r="AD33">
        <f>ROUND(((((ET33*55))-((EU33*55)))+AE33),6)</f>
        <v>0</v>
      </c>
      <c r="AE33">
        <f t="shared" si="40"/>
        <v>0</v>
      </c>
      <c r="AF33">
        <f t="shared" si="40"/>
        <v>16199.7</v>
      </c>
      <c r="AG33">
        <f t="shared" si="41"/>
        <v>0</v>
      </c>
      <c r="AH33">
        <f t="shared" si="42"/>
        <v>35.75</v>
      </c>
      <c r="AI33">
        <f t="shared" si="42"/>
        <v>0</v>
      </c>
      <c r="AJ33">
        <f t="shared" si="43"/>
        <v>0</v>
      </c>
      <c r="AK33">
        <v>294.54000000000002</v>
      </c>
      <c r="AL33">
        <v>0</v>
      </c>
      <c r="AM33">
        <v>0</v>
      </c>
      <c r="AN33">
        <v>0</v>
      </c>
      <c r="AO33">
        <v>294.54000000000002</v>
      </c>
      <c r="AP33">
        <v>0</v>
      </c>
      <c r="AQ33">
        <v>0.65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30</v>
      </c>
      <c r="BM33">
        <v>0</v>
      </c>
      <c r="BN33">
        <v>0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4"/>
        <v>5304974.08</v>
      </c>
      <c r="CQ33">
        <f t="shared" si="45"/>
        <v>0</v>
      </c>
      <c r="CR33">
        <f>(((((ET33*55))*BB33-((EU33*55))*BS33)+AE33*BS33)*AV33)</f>
        <v>0</v>
      </c>
      <c r="CS33">
        <f t="shared" si="46"/>
        <v>0</v>
      </c>
      <c r="CT33">
        <f t="shared" si="47"/>
        <v>16199.7</v>
      </c>
      <c r="CU33">
        <f t="shared" si="48"/>
        <v>0</v>
      </c>
      <c r="CV33">
        <f t="shared" si="49"/>
        <v>35.75</v>
      </c>
      <c r="CW33">
        <f t="shared" si="50"/>
        <v>0</v>
      </c>
      <c r="CX33">
        <f t="shared" si="51"/>
        <v>0</v>
      </c>
      <c r="CY33">
        <f t="shared" si="52"/>
        <v>3713481.8560000001</v>
      </c>
      <c r="CZ33">
        <f t="shared" si="53"/>
        <v>530497.40799999994</v>
      </c>
      <c r="DC33" t="s">
        <v>3</v>
      </c>
      <c r="DD33" t="s">
        <v>22</v>
      </c>
      <c r="DE33" t="s">
        <v>22</v>
      </c>
      <c r="DF33" t="s">
        <v>22</v>
      </c>
      <c r="DG33" t="s">
        <v>22</v>
      </c>
      <c r="DH33" t="s">
        <v>3</v>
      </c>
      <c r="DI33" t="s">
        <v>22</v>
      </c>
      <c r="DJ33" t="s">
        <v>22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29</v>
      </c>
      <c r="DW33" t="s">
        <v>29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80196140</v>
      </c>
      <c r="EF33">
        <v>1</v>
      </c>
      <c r="EG33" t="s">
        <v>23</v>
      </c>
      <c r="EH33">
        <v>0</v>
      </c>
      <c r="EI33" t="s">
        <v>3</v>
      </c>
      <c r="EJ33">
        <v>4</v>
      </c>
      <c r="EK33">
        <v>0</v>
      </c>
      <c r="EL33" t="s">
        <v>24</v>
      </c>
      <c r="EM33" t="s">
        <v>25</v>
      </c>
      <c r="EO33" t="s">
        <v>3</v>
      </c>
      <c r="EQ33">
        <v>0</v>
      </c>
      <c r="ER33">
        <v>294.54000000000002</v>
      </c>
      <c r="ES33">
        <v>0</v>
      </c>
      <c r="ET33">
        <v>0</v>
      </c>
      <c r="EU33">
        <v>0</v>
      </c>
      <c r="EV33">
        <v>294.54000000000002</v>
      </c>
      <c r="EW33">
        <v>0.65</v>
      </c>
      <c r="EX33">
        <v>0</v>
      </c>
      <c r="EY33">
        <v>0</v>
      </c>
      <c r="FQ33">
        <v>0</v>
      </c>
      <c r="FR33"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-476776594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4"/>
        <v>0</v>
      </c>
      <c r="GM33">
        <f t="shared" si="55"/>
        <v>9548953.3499999996</v>
      </c>
      <c r="GN33">
        <f t="shared" si="56"/>
        <v>0</v>
      </c>
      <c r="GO33">
        <f t="shared" si="57"/>
        <v>0</v>
      </c>
      <c r="GP33">
        <f t="shared" si="58"/>
        <v>9548953.3499999996</v>
      </c>
      <c r="GR33">
        <v>0</v>
      </c>
      <c r="GS33">
        <v>3</v>
      </c>
      <c r="GT33">
        <v>0</v>
      </c>
      <c r="GU33" t="s">
        <v>3</v>
      </c>
      <c r="GV33">
        <f t="shared" si="59"/>
        <v>0</v>
      </c>
      <c r="GW33">
        <v>1</v>
      </c>
      <c r="GX33">
        <f t="shared" si="60"/>
        <v>0</v>
      </c>
      <c r="HA33">
        <v>0</v>
      </c>
      <c r="HB33">
        <v>0</v>
      </c>
      <c r="HC33">
        <f t="shared" si="61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HS33">
        <v>0</v>
      </c>
      <c r="IK33">
        <v>0</v>
      </c>
    </row>
    <row r="34" spans="1:245" x14ac:dyDescent="0.25">
      <c r="A34">
        <v>17</v>
      </c>
      <c r="B34">
        <v>1</v>
      </c>
      <c r="C34">
        <f>ROW(SmtRes!A4)</f>
        <v>4</v>
      </c>
      <c r="D34">
        <f>ROW(EtalonRes!A4)</f>
        <v>4</v>
      </c>
      <c r="E34" t="s">
        <v>31</v>
      </c>
      <c r="F34" t="s">
        <v>32</v>
      </c>
      <c r="G34" t="s">
        <v>33</v>
      </c>
      <c r="H34" t="s">
        <v>20</v>
      </c>
      <c r="I34">
        <v>130.98945000000001</v>
      </c>
      <c r="J34">
        <v>0</v>
      </c>
      <c r="K34">
        <v>130.98945000000001</v>
      </c>
      <c r="O34">
        <f t="shared" si="28"/>
        <v>3419289.66</v>
      </c>
      <c r="P34">
        <f t="shared" si="29"/>
        <v>78960.44</v>
      </c>
      <c r="Q34">
        <f t="shared" si="30"/>
        <v>3340329.22</v>
      </c>
      <c r="R34">
        <f t="shared" si="31"/>
        <v>1578848.59</v>
      </c>
      <c r="S34">
        <f t="shared" si="32"/>
        <v>0</v>
      </c>
      <c r="T34">
        <f t="shared" si="33"/>
        <v>0</v>
      </c>
      <c r="U34">
        <f t="shared" si="34"/>
        <v>0</v>
      </c>
      <c r="V34">
        <f t="shared" si="35"/>
        <v>0</v>
      </c>
      <c r="W34">
        <f t="shared" si="36"/>
        <v>0</v>
      </c>
      <c r="X34">
        <f t="shared" si="37"/>
        <v>0</v>
      </c>
      <c r="Y34">
        <f t="shared" si="38"/>
        <v>0</v>
      </c>
      <c r="AA34">
        <v>80889179</v>
      </c>
      <c r="AB34">
        <f t="shared" si="39"/>
        <v>26103.55</v>
      </c>
      <c r="AC34">
        <f>ROUND(((ES34*55)),6)</f>
        <v>602.79999999999995</v>
      </c>
      <c r="AD34">
        <f>ROUND(((((ET34*55))-((EU34*55)))+AE34),6)</f>
        <v>25500.75</v>
      </c>
      <c r="AE34">
        <f t="shared" si="40"/>
        <v>12053.25</v>
      </c>
      <c r="AF34">
        <f t="shared" si="40"/>
        <v>0</v>
      </c>
      <c r="AG34">
        <f t="shared" si="41"/>
        <v>0</v>
      </c>
      <c r="AH34">
        <f t="shared" si="42"/>
        <v>0</v>
      </c>
      <c r="AI34">
        <f t="shared" si="42"/>
        <v>0</v>
      </c>
      <c r="AJ34">
        <f t="shared" si="43"/>
        <v>0</v>
      </c>
      <c r="AK34">
        <v>474.61</v>
      </c>
      <c r="AL34">
        <v>10.96</v>
      </c>
      <c r="AM34">
        <v>463.65</v>
      </c>
      <c r="AN34">
        <v>219.15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34</v>
      </c>
      <c r="BM34">
        <v>0</v>
      </c>
      <c r="BN34">
        <v>0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4"/>
        <v>3419289.66</v>
      </c>
      <c r="CQ34">
        <f t="shared" si="45"/>
        <v>602.79999999999995</v>
      </c>
      <c r="CR34">
        <f>(((((ET34*55))*BB34-((EU34*55))*BS34)+AE34*BS34)*AV34)</f>
        <v>25500.75</v>
      </c>
      <c r="CS34">
        <f t="shared" si="46"/>
        <v>12053.25</v>
      </c>
      <c r="CT34">
        <f t="shared" si="47"/>
        <v>0</v>
      </c>
      <c r="CU34">
        <f t="shared" si="48"/>
        <v>0</v>
      </c>
      <c r="CV34">
        <f t="shared" si="49"/>
        <v>0</v>
      </c>
      <c r="CW34">
        <f t="shared" si="50"/>
        <v>0</v>
      </c>
      <c r="CX34">
        <f t="shared" si="51"/>
        <v>0</v>
      </c>
      <c r="CY34">
        <f t="shared" si="52"/>
        <v>0</v>
      </c>
      <c r="CZ34">
        <f t="shared" si="53"/>
        <v>0</v>
      </c>
      <c r="DC34" t="s">
        <v>3</v>
      </c>
      <c r="DD34" t="s">
        <v>22</v>
      </c>
      <c r="DE34" t="s">
        <v>22</v>
      </c>
      <c r="DF34" t="s">
        <v>22</v>
      </c>
      <c r="DG34" t="s">
        <v>22</v>
      </c>
      <c r="DH34" t="s">
        <v>3</v>
      </c>
      <c r="DI34" t="s">
        <v>22</v>
      </c>
      <c r="DJ34" t="s">
        <v>22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20</v>
      </c>
      <c r="DW34" t="s">
        <v>20</v>
      </c>
      <c r="DX34">
        <v>1000</v>
      </c>
      <c r="DZ34" t="s">
        <v>3</v>
      </c>
      <c r="EA34" t="s">
        <v>3</v>
      </c>
      <c r="EB34" t="s">
        <v>3</v>
      </c>
      <c r="EC34" t="s">
        <v>3</v>
      </c>
      <c r="EE34">
        <v>80196140</v>
      </c>
      <c r="EF34">
        <v>1</v>
      </c>
      <c r="EG34" t="s">
        <v>23</v>
      </c>
      <c r="EH34">
        <v>0</v>
      </c>
      <c r="EI34" t="s">
        <v>3</v>
      </c>
      <c r="EJ34">
        <v>4</v>
      </c>
      <c r="EK34">
        <v>0</v>
      </c>
      <c r="EL34" t="s">
        <v>24</v>
      </c>
      <c r="EM34" t="s">
        <v>25</v>
      </c>
      <c r="EO34" t="s">
        <v>3</v>
      </c>
      <c r="EQ34">
        <v>0</v>
      </c>
      <c r="ER34">
        <v>474.61</v>
      </c>
      <c r="ES34">
        <v>10.96</v>
      </c>
      <c r="ET34">
        <v>463.65</v>
      </c>
      <c r="EU34">
        <v>219.15</v>
      </c>
      <c r="EV34">
        <v>0</v>
      </c>
      <c r="EW34">
        <v>0</v>
      </c>
      <c r="EX34">
        <v>0</v>
      </c>
      <c r="EY34">
        <v>0</v>
      </c>
      <c r="FQ34">
        <v>0</v>
      </c>
      <c r="FR34"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-64890484</v>
      </c>
      <c r="GG34">
        <v>2</v>
      </c>
      <c r="GH34">
        <v>1</v>
      </c>
      <c r="GI34">
        <v>-2</v>
      </c>
      <c r="GJ34">
        <v>0</v>
      </c>
      <c r="GK34">
        <f>ROUND(R34*(R12)/100,2)</f>
        <v>1705156.48</v>
      </c>
      <c r="GL34">
        <f t="shared" si="54"/>
        <v>0</v>
      </c>
      <c r="GM34">
        <f t="shared" si="55"/>
        <v>5124446.1399999997</v>
      </c>
      <c r="GN34">
        <f t="shared" si="56"/>
        <v>0</v>
      </c>
      <c r="GO34">
        <f t="shared" si="57"/>
        <v>0</v>
      </c>
      <c r="GP34">
        <f t="shared" si="58"/>
        <v>5124446.1399999997</v>
      </c>
      <c r="GR34">
        <v>0</v>
      </c>
      <c r="GS34">
        <v>3</v>
      </c>
      <c r="GT34">
        <v>0</v>
      </c>
      <c r="GU34" t="s">
        <v>3</v>
      </c>
      <c r="GV34">
        <f t="shared" si="59"/>
        <v>0</v>
      </c>
      <c r="GW34">
        <v>1</v>
      </c>
      <c r="GX34">
        <f t="shared" si="60"/>
        <v>0</v>
      </c>
      <c r="HA34">
        <v>0</v>
      </c>
      <c r="HB34">
        <v>0</v>
      </c>
      <c r="HC34">
        <f t="shared" si="61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HS34">
        <v>0</v>
      </c>
      <c r="IK34">
        <v>0</v>
      </c>
    </row>
    <row r="35" spans="1:245" x14ac:dyDescent="0.25">
      <c r="A35">
        <v>18</v>
      </c>
      <c r="B35">
        <v>1</v>
      </c>
      <c r="C35">
        <v>4</v>
      </c>
      <c r="E35" t="s">
        <v>35</v>
      </c>
      <c r="F35" t="s">
        <v>36</v>
      </c>
      <c r="G35" t="s">
        <v>37</v>
      </c>
      <c r="H35" t="s">
        <v>38</v>
      </c>
      <c r="I35">
        <f>I34*J35</f>
        <v>-1440.8839499999999</v>
      </c>
      <c r="J35">
        <v>-10.999999999999998</v>
      </c>
      <c r="K35">
        <v>-0.2</v>
      </c>
      <c r="O35">
        <f t="shared" si="28"/>
        <v>-78974.850000000006</v>
      </c>
      <c r="P35">
        <f t="shared" si="29"/>
        <v>-78974.850000000006</v>
      </c>
      <c r="Q35">
        <f t="shared" si="30"/>
        <v>0</v>
      </c>
      <c r="R35">
        <f t="shared" si="31"/>
        <v>0</v>
      </c>
      <c r="S35">
        <f t="shared" si="32"/>
        <v>0</v>
      </c>
      <c r="T35">
        <f t="shared" si="33"/>
        <v>0</v>
      </c>
      <c r="U35">
        <f t="shared" si="34"/>
        <v>0</v>
      </c>
      <c r="V35">
        <f t="shared" si="35"/>
        <v>0</v>
      </c>
      <c r="W35">
        <f t="shared" si="36"/>
        <v>0</v>
      </c>
      <c r="X35">
        <f t="shared" si="37"/>
        <v>0</v>
      </c>
      <c r="Y35">
        <f t="shared" si="38"/>
        <v>0</v>
      </c>
      <c r="AA35">
        <v>80889179</v>
      </c>
      <c r="AB35">
        <f t="shared" si="39"/>
        <v>54.81</v>
      </c>
      <c r="AC35">
        <f>ROUND((ES35),6)</f>
        <v>54.81</v>
      </c>
      <c r="AD35">
        <f>ROUND((((ET35)-(EU35))+AE35),6)</f>
        <v>0</v>
      </c>
      <c r="AE35">
        <f>ROUND((EU35),6)</f>
        <v>0</v>
      </c>
      <c r="AF35">
        <f>ROUND((EV35),6)</f>
        <v>0</v>
      </c>
      <c r="AG35">
        <f t="shared" si="41"/>
        <v>0</v>
      </c>
      <c r="AH35">
        <f>(EW35)</f>
        <v>0</v>
      </c>
      <c r="AI35">
        <f>(EX35)</f>
        <v>0</v>
      </c>
      <c r="AJ35">
        <f t="shared" si="43"/>
        <v>0</v>
      </c>
      <c r="AK35">
        <v>54.81</v>
      </c>
      <c r="AL35">
        <v>54.81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4</v>
      </c>
      <c r="BJ35" t="s">
        <v>39</v>
      </c>
      <c r="BM35">
        <v>0</v>
      </c>
      <c r="BN35">
        <v>0</v>
      </c>
      <c r="BO35" t="s">
        <v>3</v>
      </c>
      <c r="BP35">
        <v>0</v>
      </c>
      <c r="BQ35">
        <v>1</v>
      </c>
      <c r="BR35">
        <v>1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4"/>
        <v>-78974.850000000006</v>
      </c>
      <c r="CQ35">
        <f t="shared" si="45"/>
        <v>54.81</v>
      </c>
      <c r="CR35">
        <f>((((ET35)*BB35-(EU35)*BS35)+AE35*BS35)*AV35)</f>
        <v>0</v>
      </c>
      <c r="CS35">
        <f t="shared" si="46"/>
        <v>0</v>
      </c>
      <c r="CT35">
        <f t="shared" si="47"/>
        <v>0</v>
      </c>
      <c r="CU35">
        <f t="shared" si="48"/>
        <v>0</v>
      </c>
      <c r="CV35">
        <f t="shared" si="49"/>
        <v>0</v>
      </c>
      <c r="CW35">
        <f t="shared" si="50"/>
        <v>0</v>
      </c>
      <c r="CX35">
        <f t="shared" si="51"/>
        <v>0</v>
      </c>
      <c r="CY35">
        <f t="shared" si="52"/>
        <v>0</v>
      </c>
      <c r="CZ35">
        <f t="shared" si="53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1007</v>
      </c>
      <c r="DV35" t="s">
        <v>38</v>
      </c>
      <c r="DW35" t="s">
        <v>38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80196140</v>
      </c>
      <c r="EF35">
        <v>1</v>
      </c>
      <c r="EG35" t="s">
        <v>23</v>
      </c>
      <c r="EH35">
        <v>0</v>
      </c>
      <c r="EI35" t="s">
        <v>3</v>
      </c>
      <c r="EJ35">
        <v>4</v>
      </c>
      <c r="EK35">
        <v>0</v>
      </c>
      <c r="EL35" t="s">
        <v>24</v>
      </c>
      <c r="EM35" t="s">
        <v>25</v>
      </c>
      <c r="EO35" t="s">
        <v>3</v>
      </c>
      <c r="EQ35">
        <v>0</v>
      </c>
      <c r="ER35">
        <v>54.81</v>
      </c>
      <c r="ES35">
        <v>54.81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2112060389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4"/>
        <v>0</v>
      </c>
      <c r="GM35">
        <f t="shared" si="55"/>
        <v>-78974.850000000006</v>
      </c>
      <c r="GN35">
        <f t="shared" si="56"/>
        <v>0</v>
      </c>
      <c r="GO35">
        <f t="shared" si="57"/>
        <v>0</v>
      </c>
      <c r="GP35">
        <f t="shared" si="58"/>
        <v>-78974.850000000006</v>
      </c>
      <c r="GR35">
        <v>0</v>
      </c>
      <c r="GS35">
        <v>3</v>
      </c>
      <c r="GT35">
        <v>0</v>
      </c>
      <c r="GU35" t="s">
        <v>3</v>
      </c>
      <c r="GV35">
        <f t="shared" si="59"/>
        <v>0</v>
      </c>
      <c r="GW35">
        <v>1</v>
      </c>
      <c r="GX35">
        <f t="shared" si="60"/>
        <v>0</v>
      </c>
      <c r="HA35">
        <v>0</v>
      </c>
      <c r="HB35">
        <v>0</v>
      </c>
      <c r="HC35">
        <f t="shared" si="61"/>
        <v>0</v>
      </c>
      <c r="HE35" t="s">
        <v>3</v>
      </c>
      <c r="HF35" t="s">
        <v>3</v>
      </c>
      <c r="HM35" t="s">
        <v>22</v>
      </c>
      <c r="HN35" t="s">
        <v>3</v>
      </c>
      <c r="HO35" t="s">
        <v>3</v>
      </c>
      <c r="HP35" t="s">
        <v>3</v>
      </c>
      <c r="HQ35" t="s">
        <v>3</v>
      </c>
      <c r="HS35">
        <v>0</v>
      </c>
      <c r="IK35">
        <v>0</v>
      </c>
    </row>
    <row r="36" spans="1:245" x14ac:dyDescent="0.25">
      <c r="A36">
        <v>17</v>
      </c>
      <c r="B36">
        <v>1</v>
      </c>
      <c r="C36">
        <f>ROW(SmtRes!A5)</f>
        <v>5</v>
      </c>
      <c r="D36">
        <f>ROW(EtalonRes!A5)</f>
        <v>5</v>
      </c>
      <c r="E36" t="s">
        <v>40</v>
      </c>
      <c r="F36" t="s">
        <v>41</v>
      </c>
      <c r="G36" t="s">
        <v>42</v>
      </c>
      <c r="H36" t="s">
        <v>29</v>
      </c>
      <c r="I36">
        <v>327.47359999999998</v>
      </c>
      <c r="J36">
        <v>0</v>
      </c>
      <c r="K36">
        <v>327.47359999999998</v>
      </c>
      <c r="O36">
        <f t="shared" si="28"/>
        <v>1142620.8899999999</v>
      </c>
      <c r="P36">
        <f t="shared" si="29"/>
        <v>0</v>
      </c>
      <c r="Q36">
        <f t="shared" si="30"/>
        <v>0</v>
      </c>
      <c r="R36">
        <f t="shared" si="31"/>
        <v>0</v>
      </c>
      <c r="S36">
        <f t="shared" si="32"/>
        <v>1142620.8899999999</v>
      </c>
      <c r="T36">
        <f t="shared" si="33"/>
        <v>0</v>
      </c>
      <c r="U36">
        <f t="shared" si="34"/>
        <v>2521.5467200000003</v>
      </c>
      <c r="V36">
        <f t="shared" si="35"/>
        <v>0</v>
      </c>
      <c r="W36">
        <f t="shared" si="36"/>
        <v>0</v>
      </c>
      <c r="X36">
        <f t="shared" si="37"/>
        <v>799834.62</v>
      </c>
      <c r="Y36">
        <f t="shared" si="38"/>
        <v>114262.09</v>
      </c>
      <c r="AA36">
        <v>80889179</v>
      </c>
      <c r="AB36">
        <f t="shared" si="39"/>
        <v>3489.2</v>
      </c>
      <c r="AC36">
        <f>ROUND(((ES36*55)),6)</f>
        <v>0</v>
      </c>
      <c r="AD36">
        <f>ROUND(((((ET36*55))-((EU36*55)))+AE36),6)</f>
        <v>0</v>
      </c>
      <c r="AE36">
        <f>ROUND(((EU36*55)),6)</f>
        <v>0</v>
      </c>
      <c r="AF36">
        <f>ROUND(((EV36*55)),6)</f>
        <v>3489.2</v>
      </c>
      <c r="AG36">
        <f t="shared" si="41"/>
        <v>0</v>
      </c>
      <c r="AH36">
        <f>((EW36*55))</f>
        <v>7.7000000000000011</v>
      </c>
      <c r="AI36">
        <f>((EX36*55))</f>
        <v>0</v>
      </c>
      <c r="AJ36">
        <f t="shared" si="43"/>
        <v>0</v>
      </c>
      <c r="AK36">
        <v>63.44</v>
      </c>
      <c r="AL36">
        <v>0</v>
      </c>
      <c r="AM36">
        <v>0</v>
      </c>
      <c r="AN36">
        <v>0</v>
      </c>
      <c r="AO36">
        <v>63.44</v>
      </c>
      <c r="AP36">
        <v>0</v>
      </c>
      <c r="AQ36">
        <v>0.14000000000000001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43</v>
      </c>
      <c r="BM36">
        <v>0</v>
      </c>
      <c r="BN36">
        <v>0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4"/>
        <v>1142620.8899999999</v>
      </c>
      <c r="CQ36">
        <f t="shared" si="45"/>
        <v>0</v>
      </c>
      <c r="CR36">
        <f>(((((ET36*55))*BB36-((EU36*55))*BS36)+AE36*BS36)*AV36)</f>
        <v>0</v>
      </c>
      <c r="CS36">
        <f t="shared" si="46"/>
        <v>0</v>
      </c>
      <c r="CT36">
        <f t="shared" si="47"/>
        <v>3489.2</v>
      </c>
      <c r="CU36">
        <f t="shared" si="48"/>
        <v>0</v>
      </c>
      <c r="CV36">
        <f t="shared" si="49"/>
        <v>7.7000000000000011</v>
      </c>
      <c r="CW36">
        <f t="shared" si="50"/>
        <v>0</v>
      </c>
      <c r="CX36">
        <f t="shared" si="51"/>
        <v>0</v>
      </c>
      <c r="CY36">
        <f t="shared" si="52"/>
        <v>799834.62300000002</v>
      </c>
      <c r="CZ36">
        <f t="shared" si="53"/>
        <v>114262.08899999998</v>
      </c>
      <c r="DC36" t="s">
        <v>3</v>
      </c>
      <c r="DD36" t="s">
        <v>22</v>
      </c>
      <c r="DE36" t="s">
        <v>22</v>
      </c>
      <c r="DF36" t="s">
        <v>22</v>
      </c>
      <c r="DG36" t="s">
        <v>22</v>
      </c>
      <c r="DH36" t="s">
        <v>3</v>
      </c>
      <c r="DI36" t="s">
        <v>22</v>
      </c>
      <c r="DJ36" t="s">
        <v>22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1005</v>
      </c>
      <c r="DV36" t="s">
        <v>29</v>
      </c>
      <c r="DW36" t="s">
        <v>29</v>
      </c>
      <c r="DX36">
        <v>100</v>
      </c>
      <c r="DZ36" t="s">
        <v>3</v>
      </c>
      <c r="EA36" t="s">
        <v>3</v>
      </c>
      <c r="EB36" t="s">
        <v>3</v>
      </c>
      <c r="EC36" t="s">
        <v>3</v>
      </c>
      <c r="EE36">
        <v>80196140</v>
      </c>
      <c r="EF36">
        <v>1</v>
      </c>
      <c r="EG36" t="s">
        <v>23</v>
      </c>
      <c r="EH36">
        <v>0</v>
      </c>
      <c r="EI36" t="s">
        <v>3</v>
      </c>
      <c r="EJ36">
        <v>4</v>
      </c>
      <c r="EK36">
        <v>0</v>
      </c>
      <c r="EL36" t="s">
        <v>24</v>
      </c>
      <c r="EM36" t="s">
        <v>25</v>
      </c>
      <c r="EO36" t="s">
        <v>3</v>
      </c>
      <c r="EQ36">
        <v>0</v>
      </c>
      <c r="ER36">
        <v>63.44</v>
      </c>
      <c r="ES36">
        <v>0</v>
      </c>
      <c r="ET36">
        <v>0</v>
      </c>
      <c r="EU36">
        <v>0</v>
      </c>
      <c r="EV36">
        <v>63.44</v>
      </c>
      <c r="EW36">
        <v>0.14000000000000001</v>
      </c>
      <c r="EX36">
        <v>0</v>
      </c>
      <c r="EY36">
        <v>0</v>
      </c>
      <c r="FQ36">
        <v>0</v>
      </c>
      <c r="FR36"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-502436687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4"/>
        <v>0</v>
      </c>
      <c r="GM36">
        <f t="shared" si="55"/>
        <v>2056717.6</v>
      </c>
      <c r="GN36">
        <f t="shared" si="56"/>
        <v>0</v>
      </c>
      <c r="GO36">
        <f t="shared" si="57"/>
        <v>0</v>
      </c>
      <c r="GP36">
        <f t="shared" si="58"/>
        <v>2056717.6</v>
      </c>
      <c r="GR36">
        <v>0</v>
      </c>
      <c r="GS36">
        <v>3</v>
      </c>
      <c r="GT36">
        <v>0</v>
      </c>
      <c r="GU36" t="s">
        <v>3</v>
      </c>
      <c r="GV36">
        <f t="shared" si="59"/>
        <v>0</v>
      </c>
      <c r="GW36">
        <v>1</v>
      </c>
      <c r="GX36">
        <f t="shared" si="60"/>
        <v>0</v>
      </c>
      <c r="HA36">
        <v>0</v>
      </c>
      <c r="HB36">
        <v>0</v>
      </c>
      <c r="HC36">
        <f t="shared" si="61"/>
        <v>0</v>
      </c>
      <c r="HE36" t="s">
        <v>3</v>
      </c>
      <c r="HF36" t="s">
        <v>3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HS36">
        <v>0</v>
      </c>
      <c r="IK36">
        <v>0</v>
      </c>
    </row>
    <row r="37" spans="1:245" x14ac:dyDescent="0.25">
      <c r="A37">
        <v>17</v>
      </c>
      <c r="B37">
        <v>1</v>
      </c>
      <c r="C37">
        <f>ROW(SmtRes!A6)</f>
        <v>6</v>
      </c>
      <c r="D37">
        <f>ROW(EtalonRes!A6)</f>
        <v>6</v>
      </c>
      <c r="E37" t="s">
        <v>44</v>
      </c>
      <c r="F37" t="s">
        <v>45</v>
      </c>
      <c r="G37" t="s">
        <v>46</v>
      </c>
      <c r="H37" t="s">
        <v>29</v>
      </c>
      <c r="I37">
        <v>128.0806</v>
      </c>
      <c r="J37">
        <v>0</v>
      </c>
      <c r="K37">
        <v>128.0806</v>
      </c>
      <c r="O37">
        <f t="shared" si="28"/>
        <v>766082.09</v>
      </c>
      <c r="P37">
        <f t="shared" si="29"/>
        <v>0</v>
      </c>
      <c r="Q37">
        <f t="shared" si="30"/>
        <v>0</v>
      </c>
      <c r="R37">
        <f t="shared" si="31"/>
        <v>0</v>
      </c>
      <c r="S37">
        <f t="shared" si="32"/>
        <v>766082.09</v>
      </c>
      <c r="T37">
        <f t="shared" si="33"/>
        <v>0</v>
      </c>
      <c r="U37">
        <f t="shared" si="34"/>
        <v>1690.66392</v>
      </c>
      <c r="V37">
        <f t="shared" si="35"/>
        <v>0</v>
      </c>
      <c r="W37">
        <f t="shared" si="36"/>
        <v>0</v>
      </c>
      <c r="X37">
        <f t="shared" si="37"/>
        <v>536257.46</v>
      </c>
      <c r="Y37">
        <f t="shared" si="38"/>
        <v>76608.210000000006</v>
      </c>
      <c r="AA37">
        <v>80889179</v>
      </c>
      <c r="AB37">
        <f t="shared" si="39"/>
        <v>5981.25</v>
      </c>
      <c r="AC37">
        <f>ROUND(((ES37*55)),6)</f>
        <v>0</v>
      </c>
      <c r="AD37">
        <f>ROUND(((((ET37*55))-((EU37*55)))+AE37),6)</f>
        <v>0</v>
      </c>
      <c r="AE37">
        <f>ROUND(((EU37*55)),6)</f>
        <v>0</v>
      </c>
      <c r="AF37">
        <f>ROUND(((EV37*55)),6)</f>
        <v>5981.25</v>
      </c>
      <c r="AG37">
        <f t="shared" si="41"/>
        <v>0</v>
      </c>
      <c r="AH37">
        <f>((EW37*55))</f>
        <v>13.2</v>
      </c>
      <c r="AI37">
        <f>((EX37*55))</f>
        <v>0</v>
      </c>
      <c r="AJ37">
        <f t="shared" si="43"/>
        <v>0</v>
      </c>
      <c r="AK37">
        <v>108.75</v>
      </c>
      <c r="AL37">
        <v>0</v>
      </c>
      <c r="AM37">
        <v>0</v>
      </c>
      <c r="AN37">
        <v>0</v>
      </c>
      <c r="AO37">
        <v>108.75</v>
      </c>
      <c r="AP37">
        <v>0</v>
      </c>
      <c r="AQ37">
        <v>0.24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47</v>
      </c>
      <c r="BM37">
        <v>0</v>
      </c>
      <c r="BN37">
        <v>0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4"/>
        <v>766082.09</v>
      </c>
      <c r="CQ37">
        <f t="shared" si="45"/>
        <v>0</v>
      </c>
      <c r="CR37">
        <f>(((((ET37*55))*BB37-((EU37*55))*BS37)+AE37*BS37)*AV37)</f>
        <v>0</v>
      </c>
      <c r="CS37">
        <f t="shared" si="46"/>
        <v>0</v>
      </c>
      <c r="CT37">
        <f t="shared" si="47"/>
        <v>5981.25</v>
      </c>
      <c r="CU37">
        <f t="shared" si="48"/>
        <v>0</v>
      </c>
      <c r="CV37">
        <f t="shared" si="49"/>
        <v>13.2</v>
      </c>
      <c r="CW37">
        <f t="shared" si="50"/>
        <v>0</v>
      </c>
      <c r="CX37">
        <f t="shared" si="51"/>
        <v>0</v>
      </c>
      <c r="CY37">
        <f t="shared" si="52"/>
        <v>536257.46299999999</v>
      </c>
      <c r="CZ37">
        <f t="shared" si="53"/>
        <v>76608.208999999988</v>
      </c>
      <c r="DC37" t="s">
        <v>3</v>
      </c>
      <c r="DD37" t="s">
        <v>22</v>
      </c>
      <c r="DE37" t="s">
        <v>22</v>
      </c>
      <c r="DF37" t="s">
        <v>22</v>
      </c>
      <c r="DG37" t="s">
        <v>22</v>
      </c>
      <c r="DH37" t="s">
        <v>3</v>
      </c>
      <c r="DI37" t="s">
        <v>22</v>
      </c>
      <c r="DJ37" t="s">
        <v>22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1005</v>
      </c>
      <c r="DV37" t="s">
        <v>29</v>
      </c>
      <c r="DW37" t="s">
        <v>29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80196140</v>
      </c>
      <c r="EF37">
        <v>1</v>
      </c>
      <c r="EG37" t="s">
        <v>23</v>
      </c>
      <c r="EH37">
        <v>0</v>
      </c>
      <c r="EI37" t="s">
        <v>3</v>
      </c>
      <c r="EJ37">
        <v>4</v>
      </c>
      <c r="EK37">
        <v>0</v>
      </c>
      <c r="EL37" t="s">
        <v>24</v>
      </c>
      <c r="EM37" t="s">
        <v>25</v>
      </c>
      <c r="EO37" t="s">
        <v>3</v>
      </c>
      <c r="EQ37">
        <v>0</v>
      </c>
      <c r="ER37">
        <v>108.75</v>
      </c>
      <c r="ES37">
        <v>0</v>
      </c>
      <c r="ET37">
        <v>0</v>
      </c>
      <c r="EU37">
        <v>0</v>
      </c>
      <c r="EV37">
        <v>108.75</v>
      </c>
      <c r="EW37">
        <v>0.24</v>
      </c>
      <c r="EX37">
        <v>0</v>
      </c>
      <c r="EY37">
        <v>0</v>
      </c>
      <c r="FQ37">
        <v>0</v>
      </c>
      <c r="FR37"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-2145585580</v>
      </c>
      <c r="GG37">
        <v>2</v>
      </c>
      <c r="GH37">
        <v>1</v>
      </c>
      <c r="GI37">
        <v>-2</v>
      </c>
      <c r="GJ37">
        <v>0</v>
      </c>
      <c r="GK37">
        <f>ROUND(R37*(R12)/100,2)</f>
        <v>0</v>
      </c>
      <c r="GL37">
        <f t="shared" si="54"/>
        <v>0</v>
      </c>
      <c r="GM37">
        <f t="shared" si="55"/>
        <v>1378947.76</v>
      </c>
      <c r="GN37">
        <f t="shared" si="56"/>
        <v>0</v>
      </c>
      <c r="GO37">
        <f t="shared" si="57"/>
        <v>0</v>
      </c>
      <c r="GP37">
        <f t="shared" si="58"/>
        <v>1378947.76</v>
      </c>
      <c r="GR37">
        <v>0</v>
      </c>
      <c r="GS37">
        <v>3</v>
      </c>
      <c r="GT37">
        <v>0</v>
      </c>
      <c r="GU37" t="s">
        <v>3</v>
      </c>
      <c r="GV37">
        <f t="shared" si="59"/>
        <v>0</v>
      </c>
      <c r="GW37">
        <v>1</v>
      </c>
      <c r="GX37">
        <f t="shared" si="60"/>
        <v>0</v>
      </c>
      <c r="HA37">
        <v>0</v>
      </c>
      <c r="HB37">
        <v>0</v>
      </c>
      <c r="HC37">
        <f t="shared" si="61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HS37">
        <v>0</v>
      </c>
      <c r="IK37">
        <v>0</v>
      </c>
    </row>
    <row r="38" spans="1:245" x14ac:dyDescent="0.25">
      <c r="A38">
        <v>17</v>
      </c>
      <c r="B38">
        <v>1</v>
      </c>
      <c r="C38">
        <f>ROW(SmtRes!A8)</f>
        <v>8</v>
      </c>
      <c r="D38">
        <f>ROW(EtalonRes!A8)</f>
        <v>8</v>
      </c>
      <c r="E38" t="s">
        <v>48</v>
      </c>
      <c r="F38" t="s">
        <v>49</v>
      </c>
      <c r="G38" t="s">
        <v>50</v>
      </c>
      <c r="H38" t="s">
        <v>29</v>
      </c>
      <c r="I38">
        <v>327.47359999999998</v>
      </c>
      <c r="J38">
        <v>0</v>
      </c>
      <c r="K38">
        <v>327.47359999999998</v>
      </c>
      <c r="O38">
        <f t="shared" si="28"/>
        <v>1784338.15</v>
      </c>
      <c r="P38">
        <f t="shared" si="29"/>
        <v>894002.93</v>
      </c>
      <c r="Q38">
        <f t="shared" si="30"/>
        <v>0</v>
      </c>
      <c r="R38">
        <f t="shared" si="31"/>
        <v>0</v>
      </c>
      <c r="S38">
        <f t="shared" si="32"/>
        <v>890335.22</v>
      </c>
      <c r="T38">
        <f t="shared" si="33"/>
        <v>0</v>
      </c>
      <c r="U38">
        <f t="shared" si="34"/>
        <v>1964.8415999999997</v>
      </c>
      <c r="V38">
        <f t="shared" si="35"/>
        <v>0</v>
      </c>
      <c r="W38">
        <f t="shared" si="36"/>
        <v>0</v>
      </c>
      <c r="X38">
        <f t="shared" si="37"/>
        <v>623234.65</v>
      </c>
      <c r="Y38">
        <f t="shared" si="38"/>
        <v>89033.52</v>
      </c>
      <c r="AA38">
        <v>80889179</v>
      </c>
      <c r="AB38">
        <f t="shared" si="39"/>
        <v>5448.8</v>
      </c>
      <c r="AC38">
        <f>ROUND(((ES38*20)),6)</f>
        <v>2730</v>
      </c>
      <c r="AD38">
        <f>ROUND(((((ET38*20))-((EU38*20)))+AE38),6)</f>
        <v>0</v>
      </c>
      <c r="AE38">
        <f>ROUND(((EU38*20)),6)</f>
        <v>0</v>
      </c>
      <c r="AF38">
        <f>ROUND(((EV38*20)),6)</f>
        <v>2718.8</v>
      </c>
      <c r="AG38">
        <f t="shared" si="41"/>
        <v>0</v>
      </c>
      <c r="AH38">
        <f>((EW38*20))</f>
        <v>6</v>
      </c>
      <c r="AI38">
        <f>((EX38*20))</f>
        <v>0</v>
      </c>
      <c r="AJ38">
        <f t="shared" si="43"/>
        <v>0</v>
      </c>
      <c r="AK38">
        <v>272.44</v>
      </c>
      <c r="AL38">
        <v>136.5</v>
      </c>
      <c r="AM38">
        <v>0</v>
      </c>
      <c r="AN38">
        <v>0</v>
      </c>
      <c r="AO38">
        <v>135.94</v>
      </c>
      <c r="AP38">
        <v>0</v>
      </c>
      <c r="AQ38">
        <v>0.3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51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4"/>
        <v>1784338.15</v>
      </c>
      <c r="CQ38">
        <f t="shared" si="45"/>
        <v>2730</v>
      </c>
      <c r="CR38">
        <f>(((((ET38*20))*BB38-((EU38*20))*BS38)+AE38*BS38)*AV38)</f>
        <v>0</v>
      </c>
      <c r="CS38">
        <f t="shared" si="46"/>
        <v>0</v>
      </c>
      <c r="CT38">
        <f t="shared" si="47"/>
        <v>2718.8</v>
      </c>
      <c r="CU38">
        <f t="shared" si="48"/>
        <v>0</v>
      </c>
      <c r="CV38">
        <f t="shared" si="49"/>
        <v>6</v>
      </c>
      <c r="CW38">
        <f t="shared" si="50"/>
        <v>0</v>
      </c>
      <c r="CX38">
        <f t="shared" si="51"/>
        <v>0</v>
      </c>
      <c r="CY38">
        <f t="shared" si="52"/>
        <v>623234.65399999998</v>
      </c>
      <c r="CZ38">
        <f t="shared" si="53"/>
        <v>89033.521999999997</v>
      </c>
      <c r="DC38" t="s">
        <v>3</v>
      </c>
      <c r="DD38" t="s">
        <v>52</v>
      </c>
      <c r="DE38" t="s">
        <v>52</v>
      </c>
      <c r="DF38" t="s">
        <v>52</v>
      </c>
      <c r="DG38" t="s">
        <v>52</v>
      </c>
      <c r="DH38" t="s">
        <v>3</v>
      </c>
      <c r="DI38" t="s">
        <v>52</v>
      </c>
      <c r="DJ38" t="s">
        <v>52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1005</v>
      </c>
      <c r="DV38" t="s">
        <v>29</v>
      </c>
      <c r="DW38" t="s">
        <v>29</v>
      </c>
      <c r="DX38">
        <v>100</v>
      </c>
      <c r="DZ38" t="s">
        <v>3</v>
      </c>
      <c r="EA38" t="s">
        <v>3</v>
      </c>
      <c r="EB38" t="s">
        <v>3</v>
      </c>
      <c r="EC38" t="s">
        <v>3</v>
      </c>
      <c r="EE38">
        <v>80196140</v>
      </c>
      <c r="EF38">
        <v>1</v>
      </c>
      <c r="EG38" t="s">
        <v>23</v>
      </c>
      <c r="EH38">
        <v>0</v>
      </c>
      <c r="EI38" t="s">
        <v>3</v>
      </c>
      <c r="EJ38">
        <v>4</v>
      </c>
      <c r="EK38">
        <v>0</v>
      </c>
      <c r="EL38" t="s">
        <v>24</v>
      </c>
      <c r="EM38" t="s">
        <v>25</v>
      </c>
      <c r="EO38" t="s">
        <v>3</v>
      </c>
      <c r="EQ38">
        <v>0</v>
      </c>
      <c r="ER38">
        <v>272.44</v>
      </c>
      <c r="ES38">
        <v>136.5</v>
      </c>
      <c r="ET38">
        <v>0</v>
      </c>
      <c r="EU38">
        <v>0</v>
      </c>
      <c r="EV38">
        <v>135.94</v>
      </c>
      <c r="EW38">
        <v>0.3</v>
      </c>
      <c r="EX38">
        <v>0</v>
      </c>
      <c r="EY38">
        <v>0</v>
      </c>
      <c r="FQ38">
        <v>0</v>
      </c>
      <c r="FR38"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-722105518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4"/>
        <v>0</v>
      </c>
      <c r="GM38">
        <f t="shared" si="55"/>
        <v>2496606.3199999998</v>
      </c>
      <c r="GN38">
        <f t="shared" si="56"/>
        <v>0</v>
      </c>
      <c r="GO38">
        <f t="shared" si="57"/>
        <v>0</v>
      </c>
      <c r="GP38">
        <f t="shared" si="58"/>
        <v>2496606.3199999998</v>
      </c>
      <c r="GR38">
        <v>0</v>
      </c>
      <c r="GS38">
        <v>3</v>
      </c>
      <c r="GT38">
        <v>0</v>
      </c>
      <c r="GU38" t="s">
        <v>3</v>
      </c>
      <c r="GV38">
        <f t="shared" si="59"/>
        <v>0</v>
      </c>
      <c r="GW38">
        <v>1</v>
      </c>
      <c r="GX38">
        <f t="shared" si="60"/>
        <v>0</v>
      </c>
      <c r="HA38">
        <v>0</v>
      </c>
      <c r="HB38">
        <v>0</v>
      </c>
      <c r="HC38">
        <f t="shared" si="61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HS38">
        <v>0</v>
      </c>
      <c r="IK38">
        <v>0</v>
      </c>
    </row>
    <row r="39" spans="1:245" x14ac:dyDescent="0.25">
      <c r="A39">
        <v>17</v>
      </c>
      <c r="B39">
        <v>1</v>
      </c>
      <c r="C39">
        <f>ROW(SmtRes!A11)</f>
        <v>11</v>
      </c>
      <c r="D39">
        <f>ROW(EtalonRes!A11)</f>
        <v>11</v>
      </c>
      <c r="E39" t="s">
        <v>53</v>
      </c>
      <c r="F39" t="s">
        <v>54</v>
      </c>
      <c r="G39" t="s">
        <v>55</v>
      </c>
      <c r="H39" t="s">
        <v>20</v>
      </c>
      <c r="I39">
        <v>130.98945000000001</v>
      </c>
      <c r="J39">
        <v>0</v>
      </c>
      <c r="K39">
        <v>130.98945000000001</v>
      </c>
      <c r="O39">
        <f t="shared" si="28"/>
        <v>4016450.92</v>
      </c>
      <c r="P39">
        <f t="shared" si="29"/>
        <v>3576011.99</v>
      </c>
      <c r="Q39">
        <f t="shared" si="30"/>
        <v>416703.64</v>
      </c>
      <c r="R39">
        <f t="shared" si="31"/>
        <v>175814.04</v>
      </c>
      <c r="S39">
        <f t="shared" si="32"/>
        <v>23735.29</v>
      </c>
      <c r="T39">
        <f t="shared" si="33"/>
        <v>0</v>
      </c>
      <c r="U39">
        <f t="shared" si="34"/>
        <v>52.395780000000002</v>
      </c>
      <c r="V39">
        <f t="shared" si="35"/>
        <v>0</v>
      </c>
      <c r="W39">
        <f t="shared" si="36"/>
        <v>0</v>
      </c>
      <c r="X39">
        <f t="shared" si="37"/>
        <v>16614.7</v>
      </c>
      <c r="Y39">
        <f t="shared" si="38"/>
        <v>2373.5300000000002</v>
      </c>
      <c r="AA39">
        <v>80889179</v>
      </c>
      <c r="AB39">
        <f t="shared" si="39"/>
        <v>30662.400000000001</v>
      </c>
      <c r="AC39">
        <f>ROUND(((ES39*20)),6)</f>
        <v>27300</v>
      </c>
      <c r="AD39">
        <f>ROUND(((((ET39*20))-((EU39*20)))+AE39),6)</f>
        <v>3181.2</v>
      </c>
      <c r="AE39">
        <f>ROUND(((EU39*20)),6)</f>
        <v>1342.2</v>
      </c>
      <c r="AF39">
        <f>ROUND(((EV39*20)),6)</f>
        <v>181.2</v>
      </c>
      <c r="AG39">
        <f t="shared" si="41"/>
        <v>0</v>
      </c>
      <c r="AH39">
        <f>((EW39*20))</f>
        <v>0.4</v>
      </c>
      <c r="AI39">
        <f>((EX39*20))</f>
        <v>0</v>
      </c>
      <c r="AJ39">
        <f t="shared" si="43"/>
        <v>0</v>
      </c>
      <c r="AK39">
        <v>1533.12</v>
      </c>
      <c r="AL39">
        <v>1365</v>
      </c>
      <c r="AM39">
        <v>159.06</v>
      </c>
      <c r="AN39">
        <v>67.11</v>
      </c>
      <c r="AO39">
        <v>9.06</v>
      </c>
      <c r="AP39">
        <v>0</v>
      </c>
      <c r="AQ39">
        <v>0.02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56</v>
      </c>
      <c r="BM39">
        <v>0</v>
      </c>
      <c r="BN39">
        <v>0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4"/>
        <v>4016450.9200000004</v>
      </c>
      <c r="CQ39">
        <f t="shared" si="45"/>
        <v>27300</v>
      </c>
      <c r="CR39">
        <f>(((((ET39*20))*BB39-((EU39*20))*BS39)+AE39*BS39)*AV39)</f>
        <v>3181.2</v>
      </c>
      <c r="CS39">
        <f t="shared" si="46"/>
        <v>1342.2</v>
      </c>
      <c r="CT39">
        <f t="shared" si="47"/>
        <v>181.2</v>
      </c>
      <c r="CU39">
        <f t="shared" si="48"/>
        <v>0</v>
      </c>
      <c r="CV39">
        <f t="shared" si="49"/>
        <v>0.4</v>
      </c>
      <c r="CW39">
        <f t="shared" si="50"/>
        <v>0</v>
      </c>
      <c r="CX39">
        <f t="shared" si="51"/>
        <v>0</v>
      </c>
      <c r="CY39">
        <f t="shared" si="52"/>
        <v>16614.703000000001</v>
      </c>
      <c r="CZ39">
        <f t="shared" si="53"/>
        <v>2373.5290000000005</v>
      </c>
      <c r="DC39" t="s">
        <v>3</v>
      </c>
      <c r="DD39" t="s">
        <v>52</v>
      </c>
      <c r="DE39" t="s">
        <v>52</v>
      </c>
      <c r="DF39" t="s">
        <v>52</v>
      </c>
      <c r="DG39" t="s">
        <v>52</v>
      </c>
      <c r="DH39" t="s">
        <v>3</v>
      </c>
      <c r="DI39" t="s">
        <v>52</v>
      </c>
      <c r="DJ39" t="s">
        <v>52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1005</v>
      </c>
      <c r="DV39" t="s">
        <v>20</v>
      </c>
      <c r="DW39" t="s">
        <v>20</v>
      </c>
      <c r="DX39">
        <v>1000</v>
      </c>
      <c r="DZ39" t="s">
        <v>3</v>
      </c>
      <c r="EA39" t="s">
        <v>3</v>
      </c>
      <c r="EB39" t="s">
        <v>3</v>
      </c>
      <c r="EC39" t="s">
        <v>3</v>
      </c>
      <c r="EE39">
        <v>80196140</v>
      </c>
      <c r="EF39">
        <v>1</v>
      </c>
      <c r="EG39" t="s">
        <v>23</v>
      </c>
      <c r="EH39">
        <v>0</v>
      </c>
      <c r="EI39" t="s">
        <v>3</v>
      </c>
      <c r="EJ39">
        <v>4</v>
      </c>
      <c r="EK39">
        <v>0</v>
      </c>
      <c r="EL39" t="s">
        <v>24</v>
      </c>
      <c r="EM39" t="s">
        <v>25</v>
      </c>
      <c r="EO39" t="s">
        <v>3</v>
      </c>
      <c r="EQ39">
        <v>0</v>
      </c>
      <c r="ER39">
        <v>1533.12</v>
      </c>
      <c r="ES39">
        <v>1365</v>
      </c>
      <c r="ET39">
        <v>159.06</v>
      </c>
      <c r="EU39">
        <v>67.11</v>
      </c>
      <c r="EV39">
        <v>9.06</v>
      </c>
      <c r="EW39">
        <v>0.02</v>
      </c>
      <c r="EX39">
        <v>0</v>
      </c>
      <c r="EY39">
        <v>0</v>
      </c>
      <c r="FQ39">
        <v>0</v>
      </c>
      <c r="FR39"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-905148242</v>
      </c>
      <c r="GG39">
        <v>2</v>
      </c>
      <c r="GH39">
        <v>1</v>
      </c>
      <c r="GI39">
        <v>-2</v>
      </c>
      <c r="GJ39">
        <v>0</v>
      </c>
      <c r="GK39">
        <f>ROUND(R39*(R12)/100,2)</f>
        <v>189879.16</v>
      </c>
      <c r="GL39">
        <f t="shared" si="54"/>
        <v>0</v>
      </c>
      <c r="GM39">
        <f t="shared" si="55"/>
        <v>4225318.3099999996</v>
      </c>
      <c r="GN39">
        <f t="shared" si="56"/>
        <v>0</v>
      </c>
      <c r="GO39">
        <f t="shared" si="57"/>
        <v>0</v>
      </c>
      <c r="GP39">
        <f t="shared" si="58"/>
        <v>4225318.3099999996</v>
      </c>
      <c r="GR39">
        <v>0</v>
      </c>
      <c r="GS39">
        <v>3</v>
      </c>
      <c r="GT39">
        <v>0</v>
      </c>
      <c r="GU39" t="s">
        <v>3</v>
      </c>
      <c r="GV39">
        <f t="shared" si="59"/>
        <v>0</v>
      </c>
      <c r="GW39">
        <v>1</v>
      </c>
      <c r="GX39">
        <f t="shared" si="60"/>
        <v>0</v>
      </c>
      <c r="HA39">
        <v>0</v>
      </c>
      <c r="HB39">
        <v>0</v>
      </c>
      <c r="HC39">
        <f t="shared" si="61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HS39">
        <v>0</v>
      </c>
      <c r="IK39">
        <v>0</v>
      </c>
    </row>
    <row r="40" spans="1:245" x14ac:dyDescent="0.25">
      <c r="A40">
        <v>17</v>
      </c>
      <c r="B40">
        <v>1</v>
      </c>
      <c r="C40">
        <f>ROW(SmtRes!A12)</f>
        <v>12</v>
      </c>
      <c r="D40">
        <f>ROW(EtalonRes!A12)</f>
        <v>12</v>
      </c>
      <c r="E40" t="s">
        <v>57</v>
      </c>
      <c r="F40" t="s">
        <v>58</v>
      </c>
      <c r="G40" t="s">
        <v>59</v>
      </c>
      <c r="H40" t="s">
        <v>29</v>
      </c>
      <c r="I40">
        <v>13.8942</v>
      </c>
      <c r="J40">
        <v>0</v>
      </c>
      <c r="K40">
        <v>13.8942</v>
      </c>
      <c r="O40">
        <f t="shared" si="28"/>
        <v>151734.39000000001</v>
      </c>
      <c r="P40">
        <f t="shared" si="29"/>
        <v>0</v>
      </c>
      <c r="Q40">
        <f t="shared" si="30"/>
        <v>0</v>
      </c>
      <c r="R40">
        <f t="shared" si="31"/>
        <v>0</v>
      </c>
      <c r="S40">
        <f t="shared" si="32"/>
        <v>151734.39000000001</v>
      </c>
      <c r="T40">
        <f t="shared" si="33"/>
        <v>0</v>
      </c>
      <c r="U40">
        <f t="shared" si="34"/>
        <v>334.85022000000004</v>
      </c>
      <c r="V40">
        <f t="shared" si="35"/>
        <v>0</v>
      </c>
      <c r="W40">
        <f t="shared" si="36"/>
        <v>0</v>
      </c>
      <c r="X40">
        <f t="shared" si="37"/>
        <v>106214.07</v>
      </c>
      <c r="Y40">
        <f t="shared" si="38"/>
        <v>15173.44</v>
      </c>
      <c r="AA40">
        <v>80889179</v>
      </c>
      <c r="AB40">
        <f t="shared" si="39"/>
        <v>10920.7</v>
      </c>
      <c r="AC40">
        <f>ROUND(((ES40*10)),6)</f>
        <v>0</v>
      </c>
      <c r="AD40">
        <f>ROUND(((((ET40*10))-((EU40*10)))+AE40),6)</f>
        <v>0</v>
      </c>
      <c r="AE40">
        <f>ROUND(((EU40*10)),6)</f>
        <v>0</v>
      </c>
      <c r="AF40">
        <f>ROUND(((EV40*10)),6)</f>
        <v>10920.7</v>
      </c>
      <c r="AG40">
        <f t="shared" si="41"/>
        <v>0</v>
      </c>
      <c r="AH40">
        <f>((EW40*10))</f>
        <v>24.1</v>
      </c>
      <c r="AI40">
        <f>((EX40*10))</f>
        <v>0</v>
      </c>
      <c r="AJ40">
        <f t="shared" si="43"/>
        <v>0</v>
      </c>
      <c r="AK40">
        <v>1092.07</v>
      </c>
      <c r="AL40">
        <v>0</v>
      </c>
      <c r="AM40">
        <v>0</v>
      </c>
      <c r="AN40">
        <v>0</v>
      </c>
      <c r="AO40">
        <v>1092.07</v>
      </c>
      <c r="AP40">
        <v>0</v>
      </c>
      <c r="AQ40">
        <v>2.41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60</v>
      </c>
      <c r="BM40">
        <v>0</v>
      </c>
      <c r="BN40">
        <v>0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4"/>
        <v>151734.39000000001</v>
      </c>
      <c r="CQ40">
        <f t="shared" si="45"/>
        <v>0</v>
      </c>
      <c r="CR40">
        <f>(((((ET40*10))*BB40-((EU40*10))*BS40)+AE40*BS40)*AV40)</f>
        <v>0</v>
      </c>
      <c r="CS40">
        <f t="shared" si="46"/>
        <v>0</v>
      </c>
      <c r="CT40">
        <f t="shared" si="47"/>
        <v>10920.7</v>
      </c>
      <c r="CU40">
        <f t="shared" si="48"/>
        <v>0</v>
      </c>
      <c r="CV40">
        <f t="shared" si="49"/>
        <v>24.1</v>
      </c>
      <c r="CW40">
        <f t="shared" si="50"/>
        <v>0</v>
      </c>
      <c r="CX40">
        <f t="shared" si="51"/>
        <v>0</v>
      </c>
      <c r="CY40">
        <f t="shared" si="52"/>
        <v>106214.073</v>
      </c>
      <c r="CZ40">
        <f t="shared" si="53"/>
        <v>15173.439000000002</v>
      </c>
      <c r="DC40" t="s">
        <v>3</v>
      </c>
      <c r="DD40" t="s">
        <v>61</v>
      </c>
      <c r="DE40" t="s">
        <v>61</v>
      </c>
      <c r="DF40" t="s">
        <v>61</v>
      </c>
      <c r="DG40" t="s">
        <v>61</v>
      </c>
      <c r="DH40" t="s">
        <v>3</v>
      </c>
      <c r="DI40" t="s">
        <v>61</v>
      </c>
      <c r="DJ40" t="s">
        <v>61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1005</v>
      </c>
      <c r="DV40" t="s">
        <v>29</v>
      </c>
      <c r="DW40" t="s">
        <v>29</v>
      </c>
      <c r="DX40">
        <v>100</v>
      </c>
      <c r="DZ40" t="s">
        <v>3</v>
      </c>
      <c r="EA40" t="s">
        <v>3</v>
      </c>
      <c r="EB40" t="s">
        <v>3</v>
      </c>
      <c r="EC40" t="s">
        <v>3</v>
      </c>
      <c r="EE40">
        <v>80196140</v>
      </c>
      <c r="EF40">
        <v>1</v>
      </c>
      <c r="EG40" t="s">
        <v>23</v>
      </c>
      <c r="EH40">
        <v>0</v>
      </c>
      <c r="EI40" t="s">
        <v>3</v>
      </c>
      <c r="EJ40">
        <v>4</v>
      </c>
      <c r="EK40">
        <v>0</v>
      </c>
      <c r="EL40" t="s">
        <v>24</v>
      </c>
      <c r="EM40" t="s">
        <v>25</v>
      </c>
      <c r="EO40" t="s">
        <v>3</v>
      </c>
      <c r="EQ40">
        <v>0</v>
      </c>
      <c r="ER40">
        <v>1092.07</v>
      </c>
      <c r="ES40">
        <v>0</v>
      </c>
      <c r="ET40">
        <v>0</v>
      </c>
      <c r="EU40">
        <v>0</v>
      </c>
      <c r="EV40">
        <v>1092.07</v>
      </c>
      <c r="EW40">
        <v>2.41</v>
      </c>
      <c r="EX40">
        <v>0</v>
      </c>
      <c r="EY40">
        <v>0</v>
      </c>
      <c r="FQ40">
        <v>0</v>
      </c>
      <c r="FR40"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1681224467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4"/>
        <v>0</v>
      </c>
      <c r="GM40">
        <f t="shared" si="55"/>
        <v>273121.90000000002</v>
      </c>
      <c r="GN40">
        <f t="shared" si="56"/>
        <v>0</v>
      </c>
      <c r="GO40">
        <f t="shared" si="57"/>
        <v>0</v>
      </c>
      <c r="GP40">
        <f t="shared" si="58"/>
        <v>273121.90000000002</v>
      </c>
      <c r="GR40">
        <v>0</v>
      </c>
      <c r="GS40">
        <v>3</v>
      </c>
      <c r="GT40">
        <v>0</v>
      </c>
      <c r="GU40" t="s">
        <v>3</v>
      </c>
      <c r="GV40">
        <f t="shared" si="59"/>
        <v>0</v>
      </c>
      <c r="GW40">
        <v>1</v>
      </c>
      <c r="GX40">
        <f t="shared" si="60"/>
        <v>0</v>
      </c>
      <c r="HA40">
        <v>0</v>
      </c>
      <c r="HB40">
        <v>0</v>
      </c>
      <c r="HC40">
        <f t="shared" si="61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HS40">
        <v>0</v>
      </c>
      <c r="IK40">
        <v>0</v>
      </c>
    </row>
    <row r="41" spans="1:245" x14ac:dyDescent="0.25">
      <c r="A41">
        <v>17</v>
      </c>
      <c r="B41">
        <v>1</v>
      </c>
      <c r="C41">
        <f>ROW(SmtRes!A14)</f>
        <v>14</v>
      </c>
      <c r="D41">
        <f>ROW(EtalonRes!A14)</f>
        <v>14</v>
      </c>
      <c r="E41" t="s">
        <v>62</v>
      </c>
      <c r="F41" t="s">
        <v>63</v>
      </c>
      <c r="G41" t="s">
        <v>64</v>
      </c>
      <c r="H41" t="s">
        <v>38</v>
      </c>
      <c r="I41">
        <v>23578</v>
      </c>
      <c r="J41">
        <v>0</v>
      </c>
      <c r="K41">
        <v>23578</v>
      </c>
      <c r="O41">
        <f t="shared" si="28"/>
        <v>20764201.48</v>
      </c>
      <c r="P41">
        <f t="shared" si="29"/>
        <v>0</v>
      </c>
      <c r="Q41">
        <f t="shared" si="30"/>
        <v>16811114</v>
      </c>
      <c r="R41">
        <f t="shared" si="31"/>
        <v>8246641.2800000003</v>
      </c>
      <c r="S41">
        <f t="shared" si="32"/>
        <v>3953087.48</v>
      </c>
      <c r="T41">
        <f t="shared" si="33"/>
        <v>0</v>
      </c>
      <c r="U41">
        <f t="shared" si="34"/>
        <v>8723.86</v>
      </c>
      <c r="V41">
        <f t="shared" si="35"/>
        <v>0</v>
      </c>
      <c r="W41">
        <f t="shared" si="36"/>
        <v>0</v>
      </c>
      <c r="X41">
        <f t="shared" si="37"/>
        <v>2767161.24</v>
      </c>
      <c r="Y41">
        <f t="shared" si="38"/>
        <v>395308.75</v>
      </c>
      <c r="AA41">
        <v>80889179</v>
      </c>
      <c r="AB41">
        <f t="shared" si="39"/>
        <v>880.66</v>
      </c>
      <c r="AC41">
        <f>ROUND((ES41),6)</f>
        <v>0</v>
      </c>
      <c r="AD41">
        <f>ROUND((((ET41)-(EU41))+AE41),6)</f>
        <v>713</v>
      </c>
      <c r="AE41">
        <f>ROUND((EU41),6)</f>
        <v>349.76</v>
      </c>
      <c r="AF41">
        <f>ROUND((EV41),6)</f>
        <v>167.66</v>
      </c>
      <c r="AG41">
        <f t="shared" si="41"/>
        <v>0</v>
      </c>
      <c r="AH41">
        <f>(EW41)</f>
        <v>0.37</v>
      </c>
      <c r="AI41">
        <f>(EX41)</f>
        <v>0</v>
      </c>
      <c r="AJ41">
        <f t="shared" si="43"/>
        <v>0</v>
      </c>
      <c r="AK41">
        <v>880.66</v>
      </c>
      <c r="AL41">
        <v>0</v>
      </c>
      <c r="AM41">
        <v>713</v>
      </c>
      <c r="AN41">
        <v>349.76</v>
      </c>
      <c r="AO41">
        <v>167.66</v>
      </c>
      <c r="AP41">
        <v>0</v>
      </c>
      <c r="AQ41">
        <v>0.37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65</v>
      </c>
      <c r="BM41">
        <v>0</v>
      </c>
      <c r="BN41">
        <v>0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4"/>
        <v>20764201.48</v>
      </c>
      <c r="CQ41">
        <f t="shared" si="45"/>
        <v>0</v>
      </c>
      <c r="CR41">
        <f>((((ET41)*BB41-(EU41)*BS41)+AE41*BS41)*AV41)</f>
        <v>713</v>
      </c>
      <c r="CS41">
        <f t="shared" si="46"/>
        <v>349.76</v>
      </c>
      <c r="CT41">
        <f t="shared" si="47"/>
        <v>167.66</v>
      </c>
      <c r="CU41">
        <f t="shared" si="48"/>
        <v>0</v>
      </c>
      <c r="CV41">
        <f t="shared" si="49"/>
        <v>0.37</v>
      </c>
      <c r="CW41">
        <f t="shared" si="50"/>
        <v>0</v>
      </c>
      <c r="CX41">
        <f t="shared" si="51"/>
        <v>0</v>
      </c>
      <c r="CY41">
        <f t="shared" si="52"/>
        <v>2767161.236</v>
      </c>
      <c r="CZ41">
        <f t="shared" si="53"/>
        <v>395308.74799999996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1007</v>
      </c>
      <c r="DV41" t="s">
        <v>38</v>
      </c>
      <c r="DW41" t="s">
        <v>38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80196140</v>
      </c>
      <c r="EF41">
        <v>1</v>
      </c>
      <c r="EG41" t="s">
        <v>23</v>
      </c>
      <c r="EH41">
        <v>0</v>
      </c>
      <c r="EI41" t="s">
        <v>3</v>
      </c>
      <c r="EJ41">
        <v>4</v>
      </c>
      <c r="EK41">
        <v>0</v>
      </c>
      <c r="EL41" t="s">
        <v>24</v>
      </c>
      <c r="EM41" t="s">
        <v>25</v>
      </c>
      <c r="EO41" t="s">
        <v>3</v>
      </c>
      <c r="EQ41">
        <v>0</v>
      </c>
      <c r="ER41">
        <v>880.66</v>
      </c>
      <c r="ES41">
        <v>0</v>
      </c>
      <c r="ET41">
        <v>713</v>
      </c>
      <c r="EU41">
        <v>349.76</v>
      </c>
      <c r="EV41">
        <v>167.66</v>
      </c>
      <c r="EW41">
        <v>0.37</v>
      </c>
      <c r="EX41">
        <v>0</v>
      </c>
      <c r="EY41">
        <v>0</v>
      </c>
      <c r="FQ41">
        <v>0</v>
      </c>
      <c r="FR41"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-43920214</v>
      </c>
      <c r="GG41">
        <v>2</v>
      </c>
      <c r="GH41">
        <v>1</v>
      </c>
      <c r="GI41">
        <v>-2</v>
      </c>
      <c r="GJ41">
        <v>0</v>
      </c>
      <c r="GK41">
        <f>ROUND(R41*(R12)/100,2)</f>
        <v>8906372.5800000001</v>
      </c>
      <c r="GL41">
        <f t="shared" si="54"/>
        <v>0</v>
      </c>
      <c r="GM41">
        <f t="shared" si="55"/>
        <v>32833044.050000001</v>
      </c>
      <c r="GN41">
        <f t="shared" si="56"/>
        <v>0</v>
      </c>
      <c r="GO41">
        <f t="shared" si="57"/>
        <v>0</v>
      </c>
      <c r="GP41">
        <f t="shared" si="58"/>
        <v>32833044.050000001</v>
      </c>
      <c r="GR41">
        <v>0</v>
      </c>
      <c r="GS41">
        <v>3</v>
      </c>
      <c r="GT41">
        <v>0</v>
      </c>
      <c r="GU41" t="s">
        <v>3</v>
      </c>
      <c r="GV41">
        <f t="shared" si="59"/>
        <v>0</v>
      </c>
      <c r="GW41">
        <v>1</v>
      </c>
      <c r="GX41">
        <f t="shared" si="60"/>
        <v>0</v>
      </c>
      <c r="HA41">
        <v>0</v>
      </c>
      <c r="HB41">
        <v>0</v>
      </c>
      <c r="HC41">
        <f t="shared" si="61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HS41">
        <v>0</v>
      </c>
      <c r="IK41">
        <v>0</v>
      </c>
    </row>
    <row r="42" spans="1:245" x14ac:dyDescent="0.25">
      <c r="A42">
        <v>17</v>
      </c>
      <c r="B42">
        <v>1</v>
      </c>
      <c r="C42">
        <f>ROW(SmtRes!A15)</f>
        <v>15</v>
      </c>
      <c r="D42">
        <f>ROW(EtalonRes!A15)</f>
        <v>15</v>
      </c>
      <c r="E42" t="s">
        <v>66</v>
      </c>
      <c r="F42" t="s">
        <v>67</v>
      </c>
      <c r="G42" t="s">
        <v>68</v>
      </c>
      <c r="H42" t="s">
        <v>38</v>
      </c>
      <c r="I42">
        <v>23578</v>
      </c>
      <c r="J42">
        <v>0</v>
      </c>
      <c r="K42">
        <v>23578</v>
      </c>
      <c r="O42">
        <f t="shared" si="28"/>
        <v>4450111.72</v>
      </c>
      <c r="P42">
        <f t="shared" si="29"/>
        <v>0</v>
      </c>
      <c r="Q42">
        <f t="shared" si="30"/>
        <v>4450111.72</v>
      </c>
      <c r="R42">
        <f t="shared" si="31"/>
        <v>2182851.2400000002</v>
      </c>
      <c r="S42">
        <f t="shared" si="32"/>
        <v>0</v>
      </c>
      <c r="T42">
        <f t="shared" si="33"/>
        <v>0</v>
      </c>
      <c r="U42">
        <f t="shared" si="34"/>
        <v>0</v>
      </c>
      <c r="V42">
        <f t="shared" si="35"/>
        <v>0</v>
      </c>
      <c r="W42">
        <f t="shared" si="36"/>
        <v>0</v>
      </c>
      <c r="X42">
        <f t="shared" si="37"/>
        <v>0</v>
      </c>
      <c r="Y42">
        <f t="shared" si="38"/>
        <v>0</v>
      </c>
      <c r="AA42">
        <v>80889179</v>
      </c>
      <c r="AB42">
        <f t="shared" si="39"/>
        <v>188.74</v>
      </c>
      <c r="AC42">
        <f>ROUND((ES42),6)</f>
        <v>0</v>
      </c>
      <c r="AD42">
        <f>ROUND((((ET42)-(EU42))+AE42),6)</f>
        <v>188.74</v>
      </c>
      <c r="AE42">
        <f>ROUND((EU42),6)</f>
        <v>92.58</v>
      </c>
      <c r="AF42">
        <f>ROUND((EV42),6)</f>
        <v>0</v>
      </c>
      <c r="AG42">
        <f t="shared" si="41"/>
        <v>0</v>
      </c>
      <c r="AH42">
        <f>(EW42)</f>
        <v>0</v>
      </c>
      <c r="AI42">
        <f>(EX42)</f>
        <v>0</v>
      </c>
      <c r="AJ42">
        <f t="shared" si="43"/>
        <v>0</v>
      </c>
      <c r="AK42">
        <v>188.74</v>
      </c>
      <c r="AL42">
        <v>0</v>
      </c>
      <c r="AM42">
        <v>188.74</v>
      </c>
      <c r="AN42">
        <v>92.58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69</v>
      </c>
      <c r="BM42">
        <v>0</v>
      </c>
      <c r="BN42">
        <v>0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4"/>
        <v>4450111.72</v>
      </c>
      <c r="CQ42">
        <f t="shared" si="45"/>
        <v>0</v>
      </c>
      <c r="CR42">
        <f>((((ET42)*BB42-(EU42)*BS42)+AE42*BS42)*AV42)</f>
        <v>188.74</v>
      </c>
      <c r="CS42">
        <f t="shared" si="46"/>
        <v>92.58</v>
      </c>
      <c r="CT42">
        <f t="shared" si="47"/>
        <v>0</v>
      </c>
      <c r="CU42">
        <f t="shared" si="48"/>
        <v>0</v>
      </c>
      <c r="CV42">
        <f t="shared" si="49"/>
        <v>0</v>
      </c>
      <c r="CW42">
        <f t="shared" si="50"/>
        <v>0</v>
      </c>
      <c r="CX42">
        <f t="shared" si="51"/>
        <v>0</v>
      </c>
      <c r="CY42">
        <f t="shared" si="52"/>
        <v>0</v>
      </c>
      <c r="CZ42">
        <f t="shared" si="53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1007</v>
      </c>
      <c r="DV42" t="s">
        <v>38</v>
      </c>
      <c r="DW42" t="s">
        <v>38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80196140</v>
      </c>
      <c r="EF42">
        <v>1</v>
      </c>
      <c r="EG42" t="s">
        <v>23</v>
      </c>
      <c r="EH42">
        <v>0</v>
      </c>
      <c r="EI42" t="s">
        <v>3</v>
      </c>
      <c r="EJ42">
        <v>4</v>
      </c>
      <c r="EK42">
        <v>0</v>
      </c>
      <c r="EL42" t="s">
        <v>24</v>
      </c>
      <c r="EM42" t="s">
        <v>25</v>
      </c>
      <c r="EO42" t="s">
        <v>3</v>
      </c>
      <c r="EQ42">
        <v>0</v>
      </c>
      <c r="ER42">
        <v>188.74</v>
      </c>
      <c r="ES42">
        <v>0</v>
      </c>
      <c r="ET42">
        <v>188.74</v>
      </c>
      <c r="EU42">
        <v>92.58</v>
      </c>
      <c r="EV42">
        <v>0</v>
      </c>
      <c r="EW42">
        <v>0</v>
      </c>
      <c r="EX42">
        <v>0</v>
      </c>
      <c r="EY42">
        <v>0</v>
      </c>
      <c r="FQ42">
        <v>0</v>
      </c>
      <c r="FR42"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-290731089</v>
      </c>
      <c r="GG42">
        <v>2</v>
      </c>
      <c r="GH42">
        <v>1</v>
      </c>
      <c r="GI42">
        <v>-2</v>
      </c>
      <c r="GJ42">
        <v>0</v>
      </c>
      <c r="GK42">
        <f>ROUND(R42*(R12)/100,2)</f>
        <v>2357479.34</v>
      </c>
      <c r="GL42">
        <f t="shared" si="54"/>
        <v>0</v>
      </c>
      <c r="GM42">
        <f t="shared" si="55"/>
        <v>6807591.0599999996</v>
      </c>
      <c r="GN42">
        <f t="shared" si="56"/>
        <v>0</v>
      </c>
      <c r="GO42">
        <f t="shared" si="57"/>
        <v>0</v>
      </c>
      <c r="GP42">
        <f t="shared" si="58"/>
        <v>6807591.0599999996</v>
      </c>
      <c r="GR42">
        <v>0</v>
      </c>
      <c r="GS42">
        <v>3</v>
      </c>
      <c r="GT42">
        <v>0</v>
      </c>
      <c r="GU42" t="s">
        <v>3</v>
      </c>
      <c r="GV42">
        <f t="shared" si="59"/>
        <v>0</v>
      </c>
      <c r="GW42">
        <v>1</v>
      </c>
      <c r="GX42">
        <f t="shared" si="60"/>
        <v>0</v>
      </c>
      <c r="HA42">
        <v>0</v>
      </c>
      <c r="HB42">
        <v>0</v>
      </c>
      <c r="HC42">
        <f t="shared" si="61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HS42">
        <v>0</v>
      </c>
      <c r="IK42">
        <v>0</v>
      </c>
    </row>
    <row r="44" spans="1:245" ht="13" x14ac:dyDescent="0.3">
      <c r="A44" s="2">
        <v>51</v>
      </c>
      <c r="B44" s="2">
        <f>B28</f>
        <v>1</v>
      </c>
      <c r="C44" s="2">
        <f>A28</f>
        <v>5</v>
      </c>
      <c r="D44" s="2">
        <f>ROW(A28)</f>
        <v>28</v>
      </c>
      <c r="E44" s="2"/>
      <c r="F44" s="2" t="str">
        <f>IF(F28&lt;&gt;"",F28,"")</f>
        <v>Новый подраздел</v>
      </c>
      <c r="G44" s="2" t="str">
        <f>IF(G28&lt;&gt;"",G28,"")</f>
        <v xml:space="preserve">Подраздел: ЗИМНЯЯ УБОРКА </v>
      </c>
      <c r="H44" s="2">
        <v>0</v>
      </c>
      <c r="I44" s="2"/>
      <c r="J44" s="2"/>
      <c r="K44" s="2"/>
      <c r="L44" s="2"/>
      <c r="M44" s="2"/>
      <c r="N44" s="2"/>
      <c r="O44" s="2">
        <f t="shared" ref="O44:T44" si="62">ROUND(AB44,2)</f>
        <v>50783916.530000001</v>
      </c>
      <c r="P44" s="2">
        <f t="shared" si="62"/>
        <v>4470000.51</v>
      </c>
      <c r="Q44" s="2">
        <f t="shared" si="62"/>
        <v>34081346.579999998</v>
      </c>
      <c r="R44" s="2">
        <f t="shared" si="62"/>
        <v>15328812.33</v>
      </c>
      <c r="S44" s="2">
        <f t="shared" si="62"/>
        <v>12232569.439999999</v>
      </c>
      <c r="T44" s="2">
        <f t="shared" si="62"/>
        <v>0</v>
      </c>
      <c r="U44" s="2">
        <f>AH44</f>
        <v>26995.33944</v>
      </c>
      <c r="V44" s="2">
        <f>AI44</f>
        <v>0</v>
      </c>
      <c r="W44" s="2">
        <f>ROUND(AJ44,2)</f>
        <v>0</v>
      </c>
      <c r="X44" s="2">
        <f>ROUND(AK44,2)</f>
        <v>8562798.5999999996</v>
      </c>
      <c r="Y44" s="2">
        <f>ROUND(AL44,2)</f>
        <v>1223256.95</v>
      </c>
      <c r="Z44" s="2"/>
      <c r="AA44" s="2"/>
      <c r="AB44" s="2">
        <f>ROUND(SUMIF(AA32:AA42,"=80889179",O32:O42),2)</f>
        <v>50783916.530000001</v>
      </c>
      <c r="AC44" s="2">
        <f>ROUND(SUMIF(AA32:AA42,"=80889179",P32:P42),2)</f>
        <v>4470000.51</v>
      </c>
      <c r="AD44" s="2">
        <f>ROUND(SUMIF(AA32:AA42,"=80889179",Q32:Q42),2)</f>
        <v>34081346.579999998</v>
      </c>
      <c r="AE44" s="2">
        <f>ROUND(SUMIF(AA32:AA42,"=80889179",R32:R42),2)</f>
        <v>15328812.33</v>
      </c>
      <c r="AF44" s="2">
        <f>ROUND(SUMIF(AA32:AA42,"=80889179",S32:S42),2)</f>
        <v>12232569.439999999</v>
      </c>
      <c r="AG44" s="2">
        <f>ROUND(SUMIF(AA32:AA42,"=80889179",T32:T42),2)</f>
        <v>0</v>
      </c>
      <c r="AH44" s="2">
        <f>SUMIF(AA32:AA42,"=80889179",U32:U42)</f>
        <v>26995.33944</v>
      </c>
      <c r="AI44" s="2">
        <f>SUMIF(AA32:AA42,"=80889179",V32:V42)</f>
        <v>0</v>
      </c>
      <c r="AJ44" s="2">
        <f>ROUND(SUMIF(AA32:AA42,"=80889179",W32:W42),2)</f>
        <v>0</v>
      </c>
      <c r="AK44" s="2">
        <f>ROUND(SUMIF(AA32:AA42,"=80889179",X32:X42),2)</f>
        <v>8562798.5999999996</v>
      </c>
      <c r="AL44" s="2">
        <f>ROUND(SUMIF(AA32:AA42,"=80889179",Y32:Y42),2)</f>
        <v>1223256.95</v>
      </c>
      <c r="AM44" s="2"/>
      <c r="AN44" s="2"/>
      <c r="AO44" s="2">
        <f t="shared" ref="AO44:BD44" si="63">ROUND(BX44,2)</f>
        <v>0</v>
      </c>
      <c r="AP44" s="2">
        <f t="shared" si="63"/>
        <v>0</v>
      </c>
      <c r="AQ44" s="2">
        <f t="shared" si="63"/>
        <v>0</v>
      </c>
      <c r="AR44" s="2">
        <f t="shared" si="63"/>
        <v>77125089.390000001</v>
      </c>
      <c r="AS44" s="2">
        <f t="shared" si="63"/>
        <v>0</v>
      </c>
      <c r="AT44" s="2">
        <f t="shared" si="63"/>
        <v>0</v>
      </c>
      <c r="AU44" s="2">
        <f t="shared" si="63"/>
        <v>77125089.390000001</v>
      </c>
      <c r="AV44" s="2">
        <f t="shared" si="63"/>
        <v>4470000.51</v>
      </c>
      <c r="AW44" s="2">
        <f t="shared" si="63"/>
        <v>4470000.51</v>
      </c>
      <c r="AX44" s="2">
        <f t="shared" si="63"/>
        <v>0</v>
      </c>
      <c r="AY44" s="2">
        <f t="shared" si="63"/>
        <v>4470000.51</v>
      </c>
      <c r="AZ44" s="2">
        <f t="shared" si="63"/>
        <v>0</v>
      </c>
      <c r="BA44" s="2">
        <f t="shared" si="63"/>
        <v>0</v>
      </c>
      <c r="BB44" s="2">
        <f t="shared" si="63"/>
        <v>0</v>
      </c>
      <c r="BC44" s="2">
        <f t="shared" si="63"/>
        <v>0</v>
      </c>
      <c r="BD44" s="2">
        <f t="shared" si="63"/>
        <v>0</v>
      </c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>
        <f>ROUND(SUMIF(AA32:AA42,"=80889179",FQ32:FQ42),2)</f>
        <v>0</v>
      </c>
      <c r="BY44" s="2">
        <f>ROUND(SUMIF(AA32:AA42,"=80889179",FR32:FR42),2)</f>
        <v>0</v>
      </c>
      <c r="BZ44" s="2">
        <f>ROUND(SUMIF(AA32:AA42,"=80889179",GL32:GL42),2)</f>
        <v>0</v>
      </c>
      <c r="CA44" s="2">
        <f>ROUND(SUMIF(AA32:AA42,"=80889179",GM32:GM42),2)</f>
        <v>77125089.390000001</v>
      </c>
      <c r="CB44" s="2">
        <f>ROUND(SUMIF(AA32:AA42,"=80889179",GN32:GN42),2)</f>
        <v>0</v>
      </c>
      <c r="CC44" s="2">
        <f>ROUND(SUMIF(AA32:AA42,"=80889179",GO32:GO42),2)</f>
        <v>0</v>
      </c>
      <c r="CD44" s="2">
        <f>ROUND(SUMIF(AA32:AA42,"=80889179",GP32:GP42),2)</f>
        <v>77125089.390000001</v>
      </c>
      <c r="CE44" s="2">
        <f>AC44-BX44</f>
        <v>4470000.51</v>
      </c>
      <c r="CF44" s="2">
        <f>AC44-BY44</f>
        <v>4470000.51</v>
      </c>
      <c r="CG44" s="2">
        <f>BX44-BZ44</f>
        <v>0</v>
      </c>
      <c r="CH44" s="2">
        <f>AC44-BX44-BY44+BZ44</f>
        <v>4470000.51</v>
      </c>
      <c r="CI44" s="2">
        <f>BY44-BZ44</f>
        <v>0</v>
      </c>
      <c r="CJ44" s="2">
        <f>ROUND(SUMIF(AA32:AA42,"=80889179",GX32:GX42),2)</f>
        <v>0</v>
      </c>
      <c r="CK44" s="2">
        <f>ROUND(SUMIF(AA32:AA42,"=80889179",GY32:GY42),2)</f>
        <v>0</v>
      </c>
      <c r="CL44" s="2">
        <f>ROUND(SUMIF(AA32:AA42,"=80889179",GZ32:GZ42),2)</f>
        <v>0</v>
      </c>
      <c r="CM44" s="2">
        <f>ROUND(SUMIF(AA32:AA42,"=80889179",HD32:HD42),2)</f>
        <v>0</v>
      </c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>
        <v>0</v>
      </c>
    </row>
    <row r="46" spans="1:245" ht="13" x14ac:dyDescent="0.3">
      <c r="A46" s="4">
        <v>50</v>
      </c>
      <c r="B46" s="4">
        <v>0</v>
      </c>
      <c r="C46" s="4">
        <v>0</v>
      </c>
      <c r="D46" s="4">
        <v>1</v>
      </c>
      <c r="E46" s="4">
        <v>201</v>
      </c>
      <c r="F46" s="4">
        <f>ROUND(Source!O44,O46)</f>
        <v>50783916.530000001</v>
      </c>
      <c r="G46" s="4" t="s">
        <v>70</v>
      </c>
      <c r="H46" s="4" t="s">
        <v>71</v>
      </c>
      <c r="I46" s="4"/>
      <c r="J46" s="4"/>
      <c r="K46" s="4">
        <v>201</v>
      </c>
      <c r="L46" s="4">
        <v>1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50783916.530000001</v>
      </c>
      <c r="X46" s="4">
        <v>1</v>
      </c>
      <c r="Y46" s="4">
        <v>50783916.530000001</v>
      </c>
      <c r="Z46" s="4"/>
      <c r="AA46" s="4"/>
      <c r="AB46" s="4"/>
    </row>
    <row r="47" spans="1:245" ht="13" x14ac:dyDescent="0.3">
      <c r="A47" s="4">
        <v>50</v>
      </c>
      <c r="B47" s="4">
        <v>0</v>
      </c>
      <c r="C47" s="4">
        <v>0</v>
      </c>
      <c r="D47" s="4">
        <v>1</v>
      </c>
      <c r="E47" s="4">
        <v>202</v>
      </c>
      <c r="F47" s="4">
        <f>ROUND(Source!P44,O47)</f>
        <v>4470000.51</v>
      </c>
      <c r="G47" s="4" t="s">
        <v>72</v>
      </c>
      <c r="H47" s="4" t="s">
        <v>73</v>
      </c>
      <c r="I47" s="4"/>
      <c r="J47" s="4"/>
      <c r="K47" s="4">
        <v>202</v>
      </c>
      <c r="L47" s="4">
        <v>2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4470000.51</v>
      </c>
      <c r="X47" s="4">
        <v>1</v>
      </c>
      <c r="Y47" s="4">
        <v>4470000.51</v>
      </c>
      <c r="Z47" s="4"/>
      <c r="AA47" s="4"/>
      <c r="AB47" s="4"/>
    </row>
    <row r="48" spans="1:245" ht="13" x14ac:dyDescent="0.3">
      <c r="A48" s="4">
        <v>50</v>
      </c>
      <c r="B48" s="4">
        <v>0</v>
      </c>
      <c r="C48" s="4">
        <v>0</v>
      </c>
      <c r="D48" s="4">
        <v>1</v>
      </c>
      <c r="E48" s="4">
        <v>222</v>
      </c>
      <c r="F48" s="4">
        <f>ROUND(Source!AO44,O48)</f>
        <v>0</v>
      </c>
      <c r="G48" s="4" t="s">
        <v>74</v>
      </c>
      <c r="H48" s="4" t="s">
        <v>75</v>
      </c>
      <c r="I48" s="4"/>
      <c r="J48" s="4"/>
      <c r="K48" s="4">
        <v>222</v>
      </c>
      <c r="L48" s="4">
        <v>3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ht="13" x14ac:dyDescent="0.3">
      <c r="A49" s="4">
        <v>50</v>
      </c>
      <c r="B49" s="4">
        <v>0</v>
      </c>
      <c r="C49" s="4">
        <v>0</v>
      </c>
      <c r="D49" s="4">
        <v>1</v>
      </c>
      <c r="E49" s="4">
        <v>225</v>
      </c>
      <c r="F49" s="4">
        <f>ROUND(Source!AV44,O49)</f>
        <v>4470000.51</v>
      </c>
      <c r="G49" s="4" t="s">
        <v>76</v>
      </c>
      <c r="H49" s="4" t="s">
        <v>77</v>
      </c>
      <c r="I49" s="4"/>
      <c r="J49" s="4"/>
      <c r="K49" s="4">
        <v>225</v>
      </c>
      <c r="L49" s="4">
        <v>4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4470000.51</v>
      </c>
      <c r="X49" s="4">
        <v>1</v>
      </c>
      <c r="Y49" s="4">
        <v>4470000.51</v>
      </c>
      <c r="Z49" s="4"/>
      <c r="AA49" s="4"/>
      <c r="AB49" s="4"/>
    </row>
    <row r="50" spans="1:28" ht="13" x14ac:dyDescent="0.3">
      <c r="A50" s="4">
        <v>50</v>
      </c>
      <c r="B50" s="4">
        <v>0</v>
      </c>
      <c r="C50" s="4">
        <v>0</v>
      </c>
      <c r="D50" s="4">
        <v>1</v>
      </c>
      <c r="E50" s="4">
        <v>226</v>
      </c>
      <c r="F50" s="4">
        <f>ROUND(Source!AW44,O50)</f>
        <v>4470000.51</v>
      </c>
      <c r="G50" s="4" t="s">
        <v>78</v>
      </c>
      <c r="H50" s="4" t="s">
        <v>79</v>
      </c>
      <c r="I50" s="4"/>
      <c r="J50" s="4"/>
      <c r="K50" s="4">
        <v>226</v>
      </c>
      <c r="L50" s="4">
        <v>5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4470000.51</v>
      </c>
      <c r="X50" s="4">
        <v>1</v>
      </c>
      <c r="Y50" s="4">
        <v>4470000.51</v>
      </c>
      <c r="Z50" s="4"/>
      <c r="AA50" s="4"/>
      <c r="AB50" s="4"/>
    </row>
    <row r="51" spans="1:28" ht="13" x14ac:dyDescent="0.3">
      <c r="A51" s="4">
        <v>50</v>
      </c>
      <c r="B51" s="4">
        <v>0</v>
      </c>
      <c r="C51" s="4">
        <v>0</v>
      </c>
      <c r="D51" s="4">
        <v>1</v>
      </c>
      <c r="E51" s="4">
        <v>227</v>
      </c>
      <c r="F51" s="4">
        <f>ROUND(Source!AX44,O51)</f>
        <v>0</v>
      </c>
      <c r="G51" s="4" t="s">
        <v>80</v>
      </c>
      <c r="H51" s="4" t="s">
        <v>81</v>
      </c>
      <c r="I51" s="4"/>
      <c r="J51" s="4"/>
      <c r="K51" s="4">
        <v>227</v>
      </c>
      <c r="L51" s="4">
        <v>6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ht="13" x14ac:dyDescent="0.3">
      <c r="A52" s="4">
        <v>50</v>
      </c>
      <c r="B52" s="4">
        <v>0</v>
      </c>
      <c r="C52" s="4">
        <v>0</v>
      </c>
      <c r="D52" s="4">
        <v>1</v>
      </c>
      <c r="E52" s="4">
        <v>228</v>
      </c>
      <c r="F52" s="4">
        <f>ROUND(Source!AY44,O52)</f>
        <v>4470000.51</v>
      </c>
      <c r="G52" s="4" t="s">
        <v>82</v>
      </c>
      <c r="H52" s="4" t="s">
        <v>83</v>
      </c>
      <c r="I52" s="4"/>
      <c r="J52" s="4"/>
      <c r="K52" s="4">
        <v>228</v>
      </c>
      <c r="L52" s="4">
        <v>7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4470000.51</v>
      </c>
      <c r="X52" s="4">
        <v>1</v>
      </c>
      <c r="Y52" s="4">
        <v>4470000.51</v>
      </c>
      <c r="Z52" s="4"/>
      <c r="AA52" s="4"/>
      <c r="AB52" s="4"/>
    </row>
    <row r="53" spans="1:28" ht="13" x14ac:dyDescent="0.3">
      <c r="A53" s="4">
        <v>50</v>
      </c>
      <c r="B53" s="4">
        <v>0</v>
      </c>
      <c r="C53" s="4">
        <v>0</v>
      </c>
      <c r="D53" s="4">
        <v>1</v>
      </c>
      <c r="E53" s="4">
        <v>216</v>
      </c>
      <c r="F53" s="4">
        <f>ROUND(Source!AP44,O53)</f>
        <v>0</v>
      </c>
      <c r="G53" s="4" t="s">
        <v>84</v>
      </c>
      <c r="H53" s="4" t="s">
        <v>85</v>
      </c>
      <c r="I53" s="4"/>
      <c r="J53" s="4"/>
      <c r="K53" s="4">
        <v>216</v>
      </c>
      <c r="L53" s="4">
        <v>8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ht="13" x14ac:dyDescent="0.3">
      <c r="A54" s="4">
        <v>50</v>
      </c>
      <c r="B54" s="4">
        <v>0</v>
      </c>
      <c r="C54" s="4">
        <v>0</v>
      </c>
      <c r="D54" s="4">
        <v>1</v>
      </c>
      <c r="E54" s="4">
        <v>223</v>
      </c>
      <c r="F54" s="4">
        <f>ROUND(Source!AQ44,O54)</f>
        <v>0</v>
      </c>
      <c r="G54" s="4" t="s">
        <v>86</v>
      </c>
      <c r="H54" s="4" t="s">
        <v>87</v>
      </c>
      <c r="I54" s="4"/>
      <c r="J54" s="4"/>
      <c r="K54" s="4">
        <v>223</v>
      </c>
      <c r="L54" s="4">
        <v>9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ht="13" x14ac:dyDescent="0.3">
      <c r="A55" s="4">
        <v>50</v>
      </c>
      <c r="B55" s="4">
        <v>0</v>
      </c>
      <c r="C55" s="4">
        <v>0</v>
      </c>
      <c r="D55" s="4">
        <v>1</v>
      </c>
      <c r="E55" s="4">
        <v>229</v>
      </c>
      <c r="F55" s="4">
        <f>ROUND(Source!AZ44,O55)</f>
        <v>0</v>
      </c>
      <c r="G55" s="4" t="s">
        <v>88</v>
      </c>
      <c r="H55" s="4" t="s">
        <v>89</v>
      </c>
      <c r="I55" s="4"/>
      <c r="J55" s="4"/>
      <c r="K55" s="4">
        <v>229</v>
      </c>
      <c r="L55" s="4">
        <v>10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ht="13" x14ac:dyDescent="0.3">
      <c r="A56" s="4">
        <v>50</v>
      </c>
      <c r="B56" s="4">
        <v>0</v>
      </c>
      <c r="C56" s="4">
        <v>0</v>
      </c>
      <c r="D56" s="4">
        <v>1</v>
      </c>
      <c r="E56" s="4">
        <v>203</v>
      </c>
      <c r="F56" s="4">
        <f>ROUND(Source!Q44,O56)</f>
        <v>34081346.579999998</v>
      </c>
      <c r="G56" s="4" t="s">
        <v>90</v>
      </c>
      <c r="H56" s="4" t="s">
        <v>91</v>
      </c>
      <c r="I56" s="4"/>
      <c r="J56" s="4"/>
      <c r="K56" s="4">
        <v>203</v>
      </c>
      <c r="L56" s="4">
        <v>11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34081346.579999998</v>
      </c>
      <c r="X56" s="4">
        <v>1</v>
      </c>
      <c r="Y56" s="4">
        <v>34081346.579999998</v>
      </c>
      <c r="Z56" s="4"/>
      <c r="AA56" s="4"/>
      <c r="AB56" s="4"/>
    </row>
    <row r="57" spans="1:28" ht="13" x14ac:dyDescent="0.3">
      <c r="A57" s="4">
        <v>50</v>
      </c>
      <c r="B57" s="4">
        <v>0</v>
      </c>
      <c r="C57" s="4">
        <v>0</v>
      </c>
      <c r="D57" s="4">
        <v>1</v>
      </c>
      <c r="E57" s="4">
        <v>231</v>
      </c>
      <c r="F57" s="4">
        <f>ROUND(Source!BB44,O57)</f>
        <v>0</v>
      </c>
      <c r="G57" s="4" t="s">
        <v>92</v>
      </c>
      <c r="H57" s="4" t="s">
        <v>93</v>
      </c>
      <c r="I57" s="4"/>
      <c r="J57" s="4"/>
      <c r="K57" s="4">
        <v>231</v>
      </c>
      <c r="L57" s="4">
        <v>12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ht="13" x14ac:dyDescent="0.3">
      <c r="A58" s="4">
        <v>50</v>
      </c>
      <c r="B58" s="4">
        <v>0</v>
      </c>
      <c r="C58" s="4">
        <v>0</v>
      </c>
      <c r="D58" s="4">
        <v>1</v>
      </c>
      <c r="E58" s="4">
        <v>204</v>
      </c>
      <c r="F58" s="4">
        <f>ROUND(Source!R44,O58)</f>
        <v>15328812.33</v>
      </c>
      <c r="G58" s="4" t="s">
        <v>94</v>
      </c>
      <c r="H58" s="4" t="s">
        <v>95</v>
      </c>
      <c r="I58" s="4"/>
      <c r="J58" s="4"/>
      <c r="K58" s="4">
        <v>204</v>
      </c>
      <c r="L58" s="4">
        <v>13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15328812.33</v>
      </c>
      <c r="X58" s="4">
        <v>1</v>
      </c>
      <c r="Y58" s="4">
        <v>15328812.33</v>
      </c>
      <c r="Z58" s="4"/>
      <c r="AA58" s="4"/>
      <c r="AB58" s="4"/>
    </row>
    <row r="59" spans="1:28" ht="13" x14ac:dyDescent="0.3">
      <c r="A59" s="4">
        <v>50</v>
      </c>
      <c r="B59" s="4">
        <v>0</v>
      </c>
      <c r="C59" s="4">
        <v>0</v>
      </c>
      <c r="D59" s="4">
        <v>1</v>
      </c>
      <c r="E59" s="4">
        <v>205</v>
      </c>
      <c r="F59" s="4">
        <f>ROUND(Source!S44,O59)</f>
        <v>12232569.439999999</v>
      </c>
      <c r="G59" s="4" t="s">
        <v>96</v>
      </c>
      <c r="H59" s="4" t="s">
        <v>97</v>
      </c>
      <c r="I59" s="4"/>
      <c r="J59" s="4"/>
      <c r="K59" s="4">
        <v>205</v>
      </c>
      <c r="L59" s="4">
        <v>14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12232569.439999999</v>
      </c>
      <c r="X59" s="4">
        <v>1</v>
      </c>
      <c r="Y59" s="4">
        <v>12232569.439999999</v>
      </c>
      <c r="Z59" s="4"/>
      <c r="AA59" s="4"/>
      <c r="AB59" s="4"/>
    </row>
    <row r="60" spans="1:28" ht="13" x14ac:dyDescent="0.3">
      <c r="A60" s="4">
        <v>50</v>
      </c>
      <c r="B60" s="4">
        <v>0</v>
      </c>
      <c r="C60" s="4">
        <v>0</v>
      </c>
      <c r="D60" s="4">
        <v>1</v>
      </c>
      <c r="E60" s="4">
        <v>232</v>
      </c>
      <c r="F60" s="4">
        <f>ROUND(Source!BC44,O60)</f>
        <v>0</v>
      </c>
      <c r="G60" s="4" t="s">
        <v>98</v>
      </c>
      <c r="H60" s="4" t="s">
        <v>99</v>
      </c>
      <c r="I60" s="4"/>
      <c r="J60" s="4"/>
      <c r="K60" s="4">
        <v>232</v>
      </c>
      <c r="L60" s="4">
        <v>15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ht="13" x14ac:dyDescent="0.3">
      <c r="A61" s="4">
        <v>50</v>
      </c>
      <c r="B61" s="4">
        <v>0</v>
      </c>
      <c r="C61" s="4">
        <v>0</v>
      </c>
      <c r="D61" s="4">
        <v>1</v>
      </c>
      <c r="E61" s="4">
        <v>214</v>
      </c>
      <c r="F61" s="4">
        <f>ROUND(Source!AS44,O61)</f>
        <v>0</v>
      </c>
      <c r="G61" s="4" t="s">
        <v>100</v>
      </c>
      <c r="H61" s="4" t="s">
        <v>101</v>
      </c>
      <c r="I61" s="4"/>
      <c r="J61" s="4"/>
      <c r="K61" s="4">
        <v>214</v>
      </c>
      <c r="L61" s="4">
        <v>16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ht="13" x14ac:dyDescent="0.3">
      <c r="A62" s="4">
        <v>50</v>
      </c>
      <c r="B62" s="4">
        <v>0</v>
      </c>
      <c r="C62" s="4">
        <v>0</v>
      </c>
      <c r="D62" s="4">
        <v>1</v>
      </c>
      <c r="E62" s="4">
        <v>215</v>
      </c>
      <c r="F62" s="4">
        <f>ROUND(Source!AT44,O62)</f>
        <v>0</v>
      </c>
      <c r="G62" s="4" t="s">
        <v>102</v>
      </c>
      <c r="H62" s="4" t="s">
        <v>103</v>
      </c>
      <c r="I62" s="4"/>
      <c r="J62" s="4"/>
      <c r="K62" s="4">
        <v>215</v>
      </c>
      <c r="L62" s="4">
        <v>17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ht="13" x14ac:dyDescent="0.3">
      <c r="A63" s="4">
        <v>50</v>
      </c>
      <c r="B63" s="4">
        <v>0</v>
      </c>
      <c r="C63" s="4">
        <v>0</v>
      </c>
      <c r="D63" s="4">
        <v>1</v>
      </c>
      <c r="E63" s="4">
        <v>217</v>
      </c>
      <c r="F63" s="4">
        <f>ROUND(Source!AU44,O63)</f>
        <v>77125089.390000001</v>
      </c>
      <c r="G63" s="4" t="s">
        <v>104</v>
      </c>
      <c r="H63" s="4" t="s">
        <v>105</v>
      </c>
      <c r="I63" s="4"/>
      <c r="J63" s="4"/>
      <c r="K63" s="4">
        <v>217</v>
      </c>
      <c r="L63" s="4">
        <v>18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77125089.390000001</v>
      </c>
      <c r="X63" s="4">
        <v>1</v>
      </c>
      <c r="Y63" s="4">
        <v>77125089.390000001</v>
      </c>
      <c r="Z63" s="4"/>
      <c r="AA63" s="4"/>
      <c r="AB63" s="4"/>
    </row>
    <row r="64" spans="1:28" ht="13" x14ac:dyDescent="0.3">
      <c r="A64" s="4">
        <v>50</v>
      </c>
      <c r="B64" s="4">
        <v>0</v>
      </c>
      <c r="C64" s="4">
        <v>0</v>
      </c>
      <c r="D64" s="4">
        <v>1</v>
      </c>
      <c r="E64" s="4">
        <v>230</v>
      </c>
      <c r="F64" s="4">
        <f>ROUND(Source!BA44,O64)</f>
        <v>0</v>
      </c>
      <c r="G64" s="4" t="s">
        <v>106</v>
      </c>
      <c r="H64" s="4" t="s">
        <v>107</v>
      </c>
      <c r="I64" s="4"/>
      <c r="J64" s="4"/>
      <c r="K64" s="4">
        <v>230</v>
      </c>
      <c r="L64" s="4">
        <v>19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45" ht="13" x14ac:dyDescent="0.3">
      <c r="A65" s="4">
        <v>50</v>
      </c>
      <c r="B65" s="4">
        <v>0</v>
      </c>
      <c r="C65" s="4">
        <v>0</v>
      </c>
      <c r="D65" s="4">
        <v>1</v>
      </c>
      <c r="E65" s="4">
        <v>206</v>
      </c>
      <c r="F65" s="4">
        <f>ROUND(Source!T44,O65)</f>
        <v>0</v>
      </c>
      <c r="G65" s="4" t="s">
        <v>108</v>
      </c>
      <c r="H65" s="4" t="s">
        <v>109</v>
      </c>
      <c r="I65" s="4"/>
      <c r="J65" s="4"/>
      <c r="K65" s="4">
        <v>206</v>
      </c>
      <c r="L65" s="4">
        <v>20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45" ht="13" x14ac:dyDescent="0.3">
      <c r="A66" s="4">
        <v>50</v>
      </c>
      <c r="B66" s="4">
        <v>0</v>
      </c>
      <c r="C66" s="4">
        <v>0</v>
      </c>
      <c r="D66" s="4">
        <v>1</v>
      </c>
      <c r="E66" s="4">
        <v>207</v>
      </c>
      <c r="F66" s="4">
        <f>Source!U44</f>
        <v>26995.33944</v>
      </c>
      <c r="G66" s="4" t="s">
        <v>110</v>
      </c>
      <c r="H66" s="4" t="s">
        <v>111</v>
      </c>
      <c r="I66" s="4"/>
      <c r="J66" s="4"/>
      <c r="K66" s="4">
        <v>207</v>
      </c>
      <c r="L66" s="4">
        <v>21</v>
      </c>
      <c r="M66" s="4">
        <v>3</v>
      </c>
      <c r="N66" s="4" t="s">
        <v>3</v>
      </c>
      <c r="O66" s="4">
        <v>-1</v>
      </c>
      <c r="P66" s="4"/>
      <c r="Q66" s="4"/>
      <c r="R66" s="4"/>
      <c r="S66" s="4"/>
      <c r="T66" s="4"/>
      <c r="U66" s="4"/>
      <c r="V66" s="4"/>
      <c r="W66" s="4">
        <v>26995.33944</v>
      </c>
      <c r="X66" s="4">
        <v>1</v>
      </c>
      <c r="Y66" s="4">
        <v>26995.33944</v>
      </c>
      <c r="Z66" s="4"/>
      <c r="AA66" s="4"/>
      <c r="AB66" s="4"/>
    </row>
    <row r="67" spans="1:245" ht="13" x14ac:dyDescent="0.3">
      <c r="A67" s="4">
        <v>50</v>
      </c>
      <c r="B67" s="4">
        <v>0</v>
      </c>
      <c r="C67" s="4">
        <v>0</v>
      </c>
      <c r="D67" s="4">
        <v>1</v>
      </c>
      <c r="E67" s="4">
        <v>208</v>
      </c>
      <c r="F67" s="4">
        <f>Source!V44</f>
        <v>0</v>
      </c>
      <c r="G67" s="4" t="s">
        <v>112</v>
      </c>
      <c r="H67" s="4" t="s">
        <v>113</v>
      </c>
      <c r="I67" s="4"/>
      <c r="J67" s="4"/>
      <c r="K67" s="4">
        <v>208</v>
      </c>
      <c r="L67" s="4">
        <v>22</v>
      </c>
      <c r="M67" s="4">
        <v>3</v>
      </c>
      <c r="N67" s="4" t="s">
        <v>3</v>
      </c>
      <c r="O67" s="4">
        <v>-1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45" ht="13" x14ac:dyDescent="0.3">
      <c r="A68" s="4">
        <v>50</v>
      </c>
      <c r="B68" s="4">
        <v>0</v>
      </c>
      <c r="C68" s="4">
        <v>0</v>
      </c>
      <c r="D68" s="4">
        <v>1</v>
      </c>
      <c r="E68" s="4">
        <v>209</v>
      </c>
      <c r="F68" s="4">
        <f>ROUND(Source!W44,O68)</f>
        <v>0</v>
      </c>
      <c r="G68" s="4" t="s">
        <v>114</v>
      </c>
      <c r="H68" s="4" t="s">
        <v>115</v>
      </c>
      <c r="I68" s="4"/>
      <c r="J68" s="4"/>
      <c r="K68" s="4">
        <v>209</v>
      </c>
      <c r="L68" s="4">
        <v>23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45" ht="13" x14ac:dyDescent="0.3">
      <c r="A69" s="4">
        <v>50</v>
      </c>
      <c r="B69" s="4">
        <v>0</v>
      </c>
      <c r="C69" s="4">
        <v>0</v>
      </c>
      <c r="D69" s="4">
        <v>1</v>
      </c>
      <c r="E69" s="4">
        <v>233</v>
      </c>
      <c r="F69" s="4">
        <f>ROUND(Source!BD44,O69)</f>
        <v>0</v>
      </c>
      <c r="G69" s="4" t="s">
        <v>116</v>
      </c>
      <c r="H69" s="4" t="s">
        <v>117</v>
      </c>
      <c r="I69" s="4"/>
      <c r="J69" s="4"/>
      <c r="K69" s="4">
        <v>233</v>
      </c>
      <c r="L69" s="4">
        <v>24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45" ht="13" x14ac:dyDescent="0.3">
      <c r="A70" s="4">
        <v>50</v>
      </c>
      <c r="B70" s="4">
        <v>0</v>
      </c>
      <c r="C70" s="4">
        <v>0</v>
      </c>
      <c r="D70" s="4">
        <v>1</v>
      </c>
      <c r="E70" s="4">
        <v>210</v>
      </c>
      <c r="F70" s="4">
        <f>ROUND(Source!X44,O70)</f>
        <v>8562798.5999999996</v>
      </c>
      <c r="G70" s="4" t="s">
        <v>118</v>
      </c>
      <c r="H70" s="4" t="s">
        <v>119</v>
      </c>
      <c r="I70" s="4"/>
      <c r="J70" s="4"/>
      <c r="K70" s="4">
        <v>210</v>
      </c>
      <c r="L70" s="4">
        <v>25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8562798.5999999996</v>
      </c>
      <c r="X70" s="4">
        <v>1</v>
      </c>
      <c r="Y70" s="4">
        <v>8562798.5999999996</v>
      </c>
      <c r="Z70" s="4"/>
      <c r="AA70" s="4"/>
      <c r="AB70" s="4"/>
    </row>
    <row r="71" spans="1:245" ht="13" x14ac:dyDescent="0.3">
      <c r="A71" s="4">
        <v>50</v>
      </c>
      <c r="B71" s="4">
        <v>0</v>
      </c>
      <c r="C71" s="4">
        <v>0</v>
      </c>
      <c r="D71" s="4">
        <v>1</v>
      </c>
      <c r="E71" s="4">
        <v>211</v>
      </c>
      <c r="F71" s="4">
        <f>ROUND(Source!Y44,O71)</f>
        <v>1223256.95</v>
      </c>
      <c r="G71" s="4" t="s">
        <v>120</v>
      </c>
      <c r="H71" s="4" t="s">
        <v>121</v>
      </c>
      <c r="I71" s="4"/>
      <c r="J71" s="4"/>
      <c r="K71" s="4">
        <v>211</v>
      </c>
      <c r="L71" s="4">
        <v>26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1223256.95</v>
      </c>
      <c r="X71" s="4">
        <v>1</v>
      </c>
      <c r="Y71" s="4">
        <v>1223256.95</v>
      </c>
      <c r="Z71" s="4"/>
      <c r="AA71" s="4"/>
      <c r="AB71" s="4"/>
    </row>
    <row r="72" spans="1:245" ht="13" x14ac:dyDescent="0.3">
      <c r="A72" s="4">
        <v>50</v>
      </c>
      <c r="B72" s="4">
        <v>0</v>
      </c>
      <c r="C72" s="4">
        <v>0</v>
      </c>
      <c r="D72" s="4">
        <v>1</v>
      </c>
      <c r="E72" s="4">
        <v>224</v>
      </c>
      <c r="F72" s="4">
        <f>ROUND(Source!AR44,O72)</f>
        <v>77125089.390000001</v>
      </c>
      <c r="G72" s="4" t="s">
        <v>122</v>
      </c>
      <c r="H72" s="4" t="s">
        <v>123</v>
      </c>
      <c r="I72" s="4"/>
      <c r="J72" s="4"/>
      <c r="K72" s="4">
        <v>224</v>
      </c>
      <c r="L72" s="4">
        <v>27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77125089.390000001</v>
      </c>
      <c r="X72" s="4">
        <v>1</v>
      </c>
      <c r="Y72" s="4">
        <v>77125089.390000001</v>
      </c>
      <c r="Z72" s="4"/>
      <c r="AA72" s="4"/>
      <c r="AB72" s="4"/>
    </row>
    <row r="74" spans="1:245" ht="13" x14ac:dyDescent="0.3">
      <c r="A74" s="1">
        <v>5</v>
      </c>
      <c r="B74" s="1">
        <v>1</v>
      </c>
      <c r="C74" s="1"/>
      <c r="D74" s="1">
        <f>ROW(A86)</f>
        <v>86</v>
      </c>
      <c r="E74" s="1"/>
      <c r="F74" s="1" t="s">
        <v>16</v>
      </c>
      <c r="G74" s="1" t="s">
        <v>247</v>
      </c>
      <c r="H74" s="1" t="s">
        <v>3</v>
      </c>
      <c r="I74" s="1">
        <v>0</v>
      </c>
      <c r="J74" s="1"/>
      <c r="K74" s="1">
        <v>0</v>
      </c>
      <c r="L74" s="1"/>
      <c r="M74" s="1" t="s">
        <v>3</v>
      </c>
      <c r="N74" s="1"/>
      <c r="O74" s="1"/>
      <c r="P74" s="1"/>
      <c r="Q74" s="1"/>
      <c r="R74" s="1"/>
      <c r="S74" s="1">
        <v>0</v>
      </c>
      <c r="T74" s="1"/>
      <c r="U74" s="1" t="s">
        <v>3</v>
      </c>
      <c r="V74" s="1">
        <v>0</v>
      </c>
      <c r="W74" s="1"/>
      <c r="X74" s="1"/>
      <c r="Y74" s="1"/>
      <c r="Z74" s="1"/>
      <c r="AA74" s="1"/>
      <c r="AB74" s="1" t="s">
        <v>3</v>
      </c>
      <c r="AC74" s="1" t="s">
        <v>3</v>
      </c>
      <c r="AD74" s="1" t="s">
        <v>3</v>
      </c>
      <c r="AE74" s="1" t="s">
        <v>3</v>
      </c>
      <c r="AF74" s="1" t="s">
        <v>3</v>
      </c>
      <c r="AG74" s="1" t="s">
        <v>3</v>
      </c>
      <c r="AH74" s="1"/>
      <c r="AI74" s="1"/>
      <c r="AJ74" s="1"/>
      <c r="AK74" s="1"/>
      <c r="AL74" s="1"/>
      <c r="AM74" s="1"/>
      <c r="AN74" s="1"/>
      <c r="AO74" s="1"/>
      <c r="AP74" s="1" t="s">
        <v>3</v>
      </c>
      <c r="AQ74" s="1" t="s">
        <v>3</v>
      </c>
      <c r="AR74" s="1" t="s">
        <v>3</v>
      </c>
      <c r="AS74" s="1"/>
      <c r="AT74" s="1"/>
      <c r="AU74" s="1"/>
      <c r="AV74" s="1"/>
      <c r="AW74" s="1"/>
      <c r="AX74" s="1"/>
      <c r="AY74" s="1"/>
      <c r="AZ74" s="1" t="s">
        <v>3</v>
      </c>
      <c r="BA74" s="1"/>
      <c r="BB74" s="1" t="s">
        <v>3</v>
      </c>
      <c r="BC74" s="1" t="s">
        <v>3</v>
      </c>
      <c r="BD74" s="1" t="s">
        <v>3</v>
      </c>
      <c r="BE74" s="1" t="s">
        <v>3</v>
      </c>
      <c r="BF74" s="1" t="s">
        <v>3</v>
      </c>
      <c r="BG74" s="1" t="s">
        <v>3</v>
      </c>
      <c r="BH74" s="1" t="s">
        <v>3</v>
      </c>
      <c r="BI74" s="1" t="s">
        <v>3</v>
      </c>
      <c r="BJ74" s="1" t="s">
        <v>3</v>
      </c>
      <c r="BK74" s="1" t="s">
        <v>3</v>
      </c>
      <c r="BL74" s="1" t="s">
        <v>3</v>
      </c>
      <c r="BM74" s="1" t="s">
        <v>3</v>
      </c>
      <c r="BN74" s="1" t="s">
        <v>3</v>
      </c>
      <c r="BO74" s="1" t="s">
        <v>3</v>
      </c>
      <c r="BP74" s="1" t="s">
        <v>3</v>
      </c>
      <c r="BQ74" s="1"/>
      <c r="BR74" s="1"/>
      <c r="BS74" s="1"/>
      <c r="BT74" s="1"/>
      <c r="BU74" s="1"/>
      <c r="BV74" s="1"/>
      <c r="BW74" s="1"/>
      <c r="BX74" s="1">
        <v>0</v>
      </c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>
        <v>0</v>
      </c>
    </row>
    <row r="76" spans="1:245" ht="13" x14ac:dyDescent="0.3">
      <c r="A76" s="2">
        <v>52</v>
      </c>
      <c r="B76" s="2">
        <f t="shared" ref="B76:G76" si="64">B86</f>
        <v>1</v>
      </c>
      <c r="C76" s="2">
        <f t="shared" si="64"/>
        <v>5</v>
      </c>
      <c r="D76" s="2">
        <f t="shared" si="64"/>
        <v>74</v>
      </c>
      <c r="E76" s="2">
        <f t="shared" si="64"/>
        <v>0</v>
      </c>
      <c r="F76" s="2" t="str">
        <f t="shared" si="64"/>
        <v>Новый подраздел</v>
      </c>
      <c r="G76" s="2" t="str">
        <f t="shared" si="64"/>
        <v xml:space="preserve">Подраздел: ЛЕТНЯЯ УБОРКА </v>
      </c>
      <c r="H76" s="2"/>
      <c r="I76" s="2"/>
      <c r="J76" s="2"/>
      <c r="K76" s="2"/>
      <c r="L76" s="2"/>
      <c r="M76" s="2"/>
      <c r="N76" s="2"/>
      <c r="O76" s="2">
        <f t="shared" ref="O76:AT76" si="65">O86</f>
        <v>7191182.9699999997</v>
      </c>
      <c r="P76" s="2">
        <f t="shared" si="65"/>
        <v>94744.51</v>
      </c>
      <c r="Q76" s="2">
        <f t="shared" si="65"/>
        <v>5725293.4000000004</v>
      </c>
      <c r="R76" s="2">
        <f t="shared" si="65"/>
        <v>2706120.86</v>
      </c>
      <c r="S76" s="2">
        <f t="shared" si="65"/>
        <v>1371145.06</v>
      </c>
      <c r="T76" s="2">
        <f t="shared" si="65"/>
        <v>0</v>
      </c>
      <c r="U76" s="2">
        <f t="shared" si="65"/>
        <v>3025.8560640000001</v>
      </c>
      <c r="V76" s="2">
        <f t="shared" si="65"/>
        <v>0</v>
      </c>
      <c r="W76" s="2">
        <f t="shared" si="65"/>
        <v>0</v>
      </c>
      <c r="X76" s="2">
        <f t="shared" si="65"/>
        <v>959801.54</v>
      </c>
      <c r="Y76" s="2">
        <f t="shared" si="65"/>
        <v>137114.51</v>
      </c>
      <c r="Z76" s="2">
        <f t="shared" si="65"/>
        <v>0</v>
      </c>
      <c r="AA76" s="2">
        <f t="shared" si="65"/>
        <v>0</v>
      </c>
      <c r="AB76" s="2">
        <f t="shared" si="65"/>
        <v>7191182.9699999997</v>
      </c>
      <c r="AC76" s="2">
        <f t="shared" si="65"/>
        <v>94744.51</v>
      </c>
      <c r="AD76" s="2">
        <f t="shared" si="65"/>
        <v>5725293.4000000004</v>
      </c>
      <c r="AE76" s="2">
        <f t="shared" si="65"/>
        <v>2706120.86</v>
      </c>
      <c r="AF76" s="2">
        <f t="shared" si="65"/>
        <v>1371145.06</v>
      </c>
      <c r="AG76" s="2">
        <f t="shared" si="65"/>
        <v>0</v>
      </c>
      <c r="AH76" s="2">
        <f t="shared" si="65"/>
        <v>3025.8560640000001</v>
      </c>
      <c r="AI76" s="2">
        <f t="shared" si="65"/>
        <v>0</v>
      </c>
      <c r="AJ76" s="2">
        <f t="shared" si="65"/>
        <v>0</v>
      </c>
      <c r="AK76" s="2">
        <f t="shared" si="65"/>
        <v>959801.54</v>
      </c>
      <c r="AL76" s="2">
        <f t="shared" si="65"/>
        <v>137114.51</v>
      </c>
      <c r="AM76" s="2">
        <f t="shared" si="65"/>
        <v>0</v>
      </c>
      <c r="AN76" s="2">
        <f t="shared" si="65"/>
        <v>0</v>
      </c>
      <c r="AO76" s="2">
        <f t="shared" si="65"/>
        <v>0</v>
      </c>
      <c r="AP76" s="2">
        <f t="shared" si="65"/>
        <v>0</v>
      </c>
      <c r="AQ76" s="2">
        <f t="shared" si="65"/>
        <v>0</v>
      </c>
      <c r="AR76" s="2">
        <f t="shared" si="65"/>
        <v>11210709.539999999</v>
      </c>
      <c r="AS76" s="2">
        <f t="shared" si="65"/>
        <v>0</v>
      </c>
      <c r="AT76" s="2">
        <f t="shared" si="65"/>
        <v>0</v>
      </c>
      <c r="AU76" s="2">
        <f t="shared" ref="AU76:BZ76" si="66">AU86</f>
        <v>11210709.539999999</v>
      </c>
      <c r="AV76" s="2">
        <f t="shared" si="66"/>
        <v>94744.51</v>
      </c>
      <c r="AW76" s="2">
        <f t="shared" si="66"/>
        <v>94744.51</v>
      </c>
      <c r="AX76" s="2">
        <f t="shared" si="66"/>
        <v>0</v>
      </c>
      <c r="AY76" s="2">
        <f t="shared" si="66"/>
        <v>94744.51</v>
      </c>
      <c r="AZ76" s="2">
        <f t="shared" si="66"/>
        <v>0</v>
      </c>
      <c r="BA76" s="2">
        <f t="shared" si="66"/>
        <v>0</v>
      </c>
      <c r="BB76" s="2">
        <f t="shared" si="66"/>
        <v>0</v>
      </c>
      <c r="BC76" s="2">
        <f t="shared" si="66"/>
        <v>0</v>
      </c>
      <c r="BD76" s="2">
        <f t="shared" si="66"/>
        <v>0</v>
      </c>
      <c r="BE76" s="2">
        <f t="shared" si="66"/>
        <v>0</v>
      </c>
      <c r="BF76" s="2">
        <f t="shared" si="66"/>
        <v>0</v>
      </c>
      <c r="BG76" s="2">
        <f t="shared" si="66"/>
        <v>0</v>
      </c>
      <c r="BH76" s="2">
        <f t="shared" si="66"/>
        <v>0</v>
      </c>
      <c r="BI76" s="2">
        <f t="shared" si="66"/>
        <v>0</v>
      </c>
      <c r="BJ76" s="2">
        <f t="shared" si="66"/>
        <v>0</v>
      </c>
      <c r="BK76" s="2">
        <f t="shared" si="66"/>
        <v>0</v>
      </c>
      <c r="BL76" s="2">
        <f t="shared" si="66"/>
        <v>0</v>
      </c>
      <c r="BM76" s="2">
        <f t="shared" si="66"/>
        <v>0</v>
      </c>
      <c r="BN76" s="2">
        <f t="shared" si="66"/>
        <v>0</v>
      </c>
      <c r="BO76" s="2">
        <f t="shared" si="66"/>
        <v>0</v>
      </c>
      <c r="BP76" s="2">
        <f t="shared" si="66"/>
        <v>0</v>
      </c>
      <c r="BQ76" s="2">
        <f t="shared" si="66"/>
        <v>0</v>
      </c>
      <c r="BR76" s="2">
        <f t="shared" si="66"/>
        <v>0</v>
      </c>
      <c r="BS76" s="2">
        <f t="shared" si="66"/>
        <v>0</v>
      </c>
      <c r="BT76" s="2">
        <f t="shared" si="66"/>
        <v>0</v>
      </c>
      <c r="BU76" s="2">
        <f t="shared" si="66"/>
        <v>0</v>
      </c>
      <c r="BV76" s="2">
        <f t="shared" si="66"/>
        <v>0</v>
      </c>
      <c r="BW76" s="2">
        <f t="shared" si="66"/>
        <v>0</v>
      </c>
      <c r="BX76" s="2">
        <f t="shared" si="66"/>
        <v>0</v>
      </c>
      <c r="BY76" s="2">
        <f t="shared" si="66"/>
        <v>0</v>
      </c>
      <c r="BZ76" s="2">
        <f t="shared" si="66"/>
        <v>0</v>
      </c>
      <c r="CA76" s="2">
        <f t="shared" ref="CA76:DF76" si="67">CA86</f>
        <v>11210709.539999999</v>
      </c>
      <c r="CB76" s="2">
        <f t="shared" si="67"/>
        <v>0</v>
      </c>
      <c r="CC76" s="2">
        <f t="shared" si="67"/>
        <v>0</v>
      </c>
      <c r="CD76" s="2">
        <f t="shared" si="67"/>
        <v>11210709.539999999</v>
      </c>
      <c r="CE76" s="2">
        <f t="shared" si="67"/>
        <v>94744.51</v>
      </c>
      <c r="CF76" s="2">
        <f t="shared" si="67"/>
        <v>94744.51</v>
      </c>
      <c r="CG76" s="2">
        <f t="shared" si="67"/>
        <v>0</v>
      </c>
      <c r="CH76" s="2">
        <f t="shared" si="67"/>
        <v>94744.51</v>
      </c>
      <c r="CI76" s="2">
        <f t="shared" si="67"/>
        <v>0</v>
      </c>
      <c r="CJ76" s="2">
        <f t="shared" si="67"/>
        <v>0</v>
      </c>
      <c r="CK76" s="2">
        <f t="shared" si="67"/>
        <v>0</v>
      </c>
      <c r="CL76" s="2">
        <f t="shared" si="67"/>
        <v>0</v>
      </c>
      <c r="CM76" s="2">
        <f t="shared" si="67"/>
        <v>0</v>
      </c>
      <c r="CN76" s="2">
        <f t="shared" si="67"/>
        <v>0</v>
      </c>
      <c r="CO76" s="2">
        <f t="shared" si="67"/>
        <v>0</v>
      </c>
      <c r="CP76" s="2">
        <f t="shared" si="67"/>
        <v>0</v>
      </c>
      <c r="CQ76" s="2">
        <f t="shared" si="67"/>
        <v>0</v>
      </c>
      <c r="CR76" s="2">
        <f t="shared" si="67"/>
        <v>0</v>
      </c>
      <c r="CS76" s="2">
        <f t="shared" si="67"/>
        <v>0</v>
      </c>
      <c r="CT76" s="2">
        <f t="shared" si="67"/>
        <v>0</v>
      </c>
      <c r="CU76" s="2">
        <f t="shared" si="67"/>
        <v>0</v>
      </c>
      <c r="CV76" s="2">
        <f t="shared" si="67"/>
        <v>0</v>
      </c>
      <c r="CW76" s="2">
        <f t="shared" si="67"/>
        <v>0</v>
      </c>
      <c r="CX76" s="2">
        <f t="shared" si="67"/>
        <v>0</v>
      </c>
      <c r="CY76" s="2">
        <f t="shared" si="67"/>
        <v>0</v>
      </c>
      <c r="CZ76" s="2">
        <f t="shared" si="67"/>
        <v>0</v>
      </c>
      <c r="DA76" s="2">
        <f t="shared" si="67"/>
        <v>0</v>
      </c>
      <c r="DB76" s="2">
        <f t="shared" si="67"/>
        <v>0</v>
      </c>
      <c r="DC76" s="2">
        <f t="shared" si="67"/>
        <v>0</v>
      </c>
      <c r="DD76" s="2">
        <f t="shared" si="67"/>
        <v>0</v>
      </c>
      <c r="DE76" s="2">
        <f t="shared" si="67"/>
        <v>0</v>
      </c>
      <c r="DF76" s="2">
        <f t="shared" si="67"/>
        <v>0</v>
      </c>
      <c r="DG76" s="3">
        <f t="shared" ref="DG76:EL76" si="68">DG86</f>
        <v>0</v>
      </c>
      <c r="DH76" s="3">
        <f t="shared" si="68"/>
        <v>0</v>
      </c>
      <c r="DI76" s="3">
        <f t="shared" si="68"/>
        <v>0</v>
      </c>
      <c r="DJ76" s="3">
        <f t="shared" si="68"/>
        <v>0</v>
      </c>
      <c r="DK76" s="3">
        <f t="shared" si="68"/>
        <v>0</v>
      </c>
      <c r="DL76" s="3">
        <f t="shared" si="68"/>
        <v>0</v>
      </c>
      <c r="DM76" s="3">
        <f t="shared" si="68"/>
        <v>0</v>
      </c>
      <c r="DN76" s="3">
        <f t="shared" si="68"/>
        <v>0</v>
      </c>
      <c r="DO76" s="3">
        <f t="shared" si="68"/>
        <v>0</v>
      </c>
      <c r="DP76" s="3">
        <f t="shared" si="68"/>
        <v>0</v>
      </c>
      <c r="DQ76" s="3">
        <f t="shared" si="68"/>
        <v>0</v>
      </c>
      <c r="DR76" s="3">
        <f t="shared" si="68"/>
        <v>0</v>
      </c>
      <c r="DS76" s="3">
        <f t="shared" si="68"/>
        <v>0</v>
      </c>
      <c r="DT76" s="3">
        <f t="shared" si="68"/>
        <v>0</v>
      </c>
      <c r="DU76" s="3">
        <f t="shared" si="68"/>
        <v>0</v>
      </c>
      <c r="DV76" s="3">
        <f t="shared" si="68"/>
        <v>0</v>
      </c>
      <c r="DW76" s="3">
        <f t="shared" si="68"/>
        <v>0</v>
      </c>
      <c r="DX76" s="3">
        <f t="shared" si="68"/>
        <v>0</v>
      </c>
      <c r="DY76" s="3">
        <f t="shared" si="68"/>
        <v>0</v>
      </c>
      <c r="DZ76" s="3">
        <f t="shared" si="68"/>
        <v>0</v>
      </c>
      <c r="EA76" s="3">
        <f t="shared" si="68"/>
        <v>0</v>
      </c>
      <c r="EB76" s="3">
        <f t="shared" si="68"/>
        <v>0</v>
      </c>
      <c r="EC76" s="3">
        <f t="shared" si="68"/>
        <v>0</v>
      </c>
      <c r="ED76" s="3">
        <f t="shared" si="68"/>
        <v>0</v>
      </c>
      <c r="EE76" s="3">
        <f t="shared" si="68"/>
        <v>0</v>
      </c>
      <c r="EF76" s="3">
        <f t="shared" si="68"/>
        <v>0</v>
      </c>
      <c r="EG76" s="3">
        <f t="shared" si="68"/>
        <v>0</v>
      </c>
      <c r="EH76" s="3">
        <f t="shared" si="68"/>
        <v>0</v>
      </c>
      <c r="EI76" s="3">
        <f t="shared" si="68"/>
        <v>0</v>
      </c>
      <c r="EJ76" s="3">
        <f t="shared" si="68"/>
        <v>0</v>
      </c>
      <c r="EK76" s="3">
        <f t="shared" si="68"/>
        <v>0</v>
      </c>
      <c r="EL76" s="3">
        <f t="shared" si="68"/>
        <v>0</v>
      </c>
      <c r="EM76" s="3">
        <f t="shared" ref="EM76:FR76" si="69">EM86</f>
        <v>0</v>
      </c>
      <c r="EN76" s="3">
        <f t="shared" si="69"/>
        <v>0</v>
      </c>
      <c r="EO76" s="3">
        <f t="shared" si="69"/>
        <v>0</v>
      </c>
      <c r="EP76" s="3">
        <f t="shared" si="69"/>
        <v>0</v>
      </c>
      <c r="EQ76" s="3">
        <f t="shared" si="69"/>
        <v>0</v>
      </c>
      <c r="ER76" s="3">
        <f t="shared" si="69"/>
        <v>0</v>
      </c>
      <c r="ES76" s="3">
        <f t="shared" si="69"/>
        <v>0</v>
      </c>
      <c r="ET76" s="3">
        <f t="shared" si="69"/>
        <v>0</v>
      </c>
      <c r="EU76" s="3">
        <f t="shared" si="69"/>
        <v>0</v>
      </c>
      <c r="EV76" s="3">
        <f t="shared" si="69"/>
        <v>0</v>
      </c>
      <c r="EW76" s="3">
        <f t="shared" si="69"/>
        <v>0</v>
      </c>
      <c r="EX76" s="3">
        <f t="shared" si="69"/>
        <v>0</v>
      </c>
      <c r="EY76" s="3">
        <f t="shared" si="69"/>
        <v>0</v>
      </c>
      <c r="EZ76" s="3">
        <f t="shared" si="69"/>
        <v>0</v>
      </c>
      <c r="FA76" s="3">
        <f t="shared" si="69"/>
        <v>0</v>
      </c>
      <c r="FB76" s="3">
        <f t="shared" si="69"/>
        <v>0</v>
      </c>
      <c r="FC76" s="3">
        <f t="shared" si="69"/>
        <v>0</v>
      </c>
      <c r="FD76" s="3">
        <f t="shared" si="69"/>
        <v>0</v>
      </c>
      <c r="FE76" s="3">
        <f t="shared" si="69"/>
        <v>0</v>
      </c>
      <c r="FF76" s="3">
        <f t="shared" si="69"/>
        <v>0</v>
      </c>
      <c r="FG76" s="3">
        <f t="shared" si="69"/>
        <v>0</v>
      </c>
      <c r="FH76" s="3">
        <f t="shared" si="69"/>
        <v>0</v>
      </c>
      <c r="FI76" s="3">
        <f t="shared" si="69"/>
        <v>0</v>
      </c>
      <c r="FJ76" s="3">
        <f t="shared" si="69"/>
        <v>0</v>
      </c>
      <c r="FK76" s="3">
        <f t="shared" si="69"/>
        <v>0</v>
      </c>
      <c r="FL76" s="3">
        <f t="shared" si="69"/>
        <v>0</v>
      </c>
      <c r="FM76" s="3">
        <f t="shared" si="69"/>
        <v>0</v>
      </c>
      <c r="FN76" s="3">
        <f t="shared" si="69"/>
        <v>0</v>
      </c>
      <c r="FO76" s="3">
        <f t="shared" si="69"/>
        <v>0</v>
      </c>
      <c r="FP76" s="3">
        <f t="shared" si="69"/>
        <v>0</v>
      </c>
      <c r="FQ76" s="3">
        <f t="shared" si="69"/>
        <v>0</v>
      </c>
      <c r="FR76" s="3">
        <f t="shared" si="69"/>
        <v>0</v>
      </c>
      <c r="FS76" s="3">
        <f t="shared" ref="FS76:GX76" si="70">FS86</f>
        <v>0</v>
      </c>
      <c r="FT76" s="3">
        <f t="shared" si="70"/>
        <v>0</v>
      </c>
      <c r="FU76" s="3">
        <f t="shared" si="70"/>
        <v>0</v>
      </c>
      <c r="FV76" s="3">
        <f t="shared" si="70"/>
        <v>0</v>
      </c>
      <c r="FW76" s="3">
        <f t="shared" si="70"/>
        <v>0</v>
      </c>
      <c r="FX76" s="3">
        <f t="shared" si="70"/>
        <v>0</v>
      </c>
      <c r="FY76" s="3">
        <f t="shared" si="70"/>
        <v>0</v>
      </c>
      <c r="FZ76" s="3">
        <f t="shared" si="70"/>
        <v>0</v>
      </c>
      <c r="GA76" s="3">
        <f t="shared" si="70"/>
        <v>0</v>
      </c>
      <c r="GB76" s="3">
        <f t="shared" si="70"/>
        <v>0</v>
      </c>
      <c r="GC76" s="3">
        <f t="shared" si="70"/>
        <v>0</v>
      </c>
      <c r="GD76" s="3">
        <f t="shared" si="70"/>
        <v>0</v>
      </c>
      <c r="GE76" s="3">
        <f t="shared" si="70"/>
        <v>0</v>
      </c>
      <c r="GF76" s="3">
        <f t="shared" si="70"/>
        <v>0</v>
      </c>
      <c r="GG76" s="3">
        <f t="shared" si="70"/>
        <v>0</v>
      </c>
      <c r="GH76" s="3">
        <f t="shared" si="70"/>
        <v>0</v>
      </c>
      <c r="GI76" s="3">
        <f t="shared" si="70"/>
        <v>0</v>
      </c>
      <c r="GJ76" s="3">
        <f t="shared" si="70"/>
        <v>0</v>
      </c>
      <c r="GK76" s="3">
        <f t="shared" si="70"/>
        <v>0</v>
      </c>
      <c r="GL76" s="3">
        <f t="shared" si="70"/>
        <v>0</v>
      </c>
      <c r="GM76" s="3">
        <f t="shared" si="70"/>
        <v>0</v>
      </c>
      <c r="GN76" s="3">
        <f t="shared" si="70"/>
        <v>0</v>
      </c>
      <c r="GO76" s="3">
        <f t="shared" si="70"/>
        <v>0</v>
      </c>
      <c r="GP76" s="3">
        <f t="shared" si="70"/>
        <v>0</v>
      </c>
      <c r="GQ76" s="3">
        <f t="shared" si="70"/>
        <v>0</v>
      </c>
      <c r="GR76" s="3">
        <f t="shared" si="70"/>
        <v>0</v>
      </c>
      <c r="GS76" s="3">
        <f t="shared" si="70"/>
        <v>0</v>
      </c>
      <c r="GT76" s="3">
        <f t="shared" si="70"/>
        <v>0</v>
      </c>
      <c r="GU76" s="3">
        <f t="shared" si="70"/>
        <v>0</v>
      </c>
      <c r="GV76" s="3">
        <f t="shared" si="70"/>
        <v>0</v>
      </c>
      <c r="GW76" s="3">
        <f t="shared" si="70"/>
        <v>0</v>
      </c>
      <c r="GX76" s="3">
        <f t="shared" si="70"/>
        <v>0</v>
      </c>
    </row>
    <row r="78" spans="1:245" x14ac:dyDescent="0.25">
      <c r="A78">
        <v>17</v>
      </c>
      <c r="B78">
        <v>1</v>
      </c>
      <c r="C78">
        <f>ROW(SmtRes!A17)</f>
        <v>17</v>
      </c>
      <c r="D78">
        <f>ROW(EtalonRes!A17)</f>
        <v>17</v>
      </c>
      <c r="E78" t="s">
        <v>124</v>
      </c>
      <c r="F78" t="s">
        <v>32</v>
      </c>
      <c r="G78" t="s">
        <v>33</v>
      </c>
      <c r="H78" t="s">
        <v>20</v>
      </c>
      <c r="I78">
        <v>130.98945000000001</v>
      </c>
      <c r="J78">
        <v>0</v>
      </c>
      <c r="K78">
        <v>130.98945000000001</v>
      </c>
      <c r="O78">
        <f t="shared" ref="O78:O84" si="71">ROUND(CP78,2)</f>
        <v>4103147.59</v>
      </c>
      <c r="P78">
        <f t="shared" ref="P78:P84" si="72">ROUND(CQ78*I78,2)</f>
        <v>94752.53</v>
      </c>
      <c r="Q78">
        <f t="shared" ref="Q78:Q84" si="73">ROUND(CR78*I78,2)</f>
        <v>4008395.06</v>
      </c>
      <c r="R78">
        <f t="shared" ref="R78:R84" si="74">ROUND(CS78*I78,2)</f>
        <v>1894618.31</v>
      </c>
      <c r="S78">
        <f t="shared" ref="S78:S84" si="75">ROUND(CT78*I78,2)</f>
        <v>0</v>
      </c>
      <c r="T78">
        <f t="shared" ref="T78:T84" si="76">ROUND(CU78*I78,2)</f>
        <v>0</v>
      </c>
      <c r="U78">
        <f t="shared" ref="U78:U84" si="77">CV78*I78</f>
        <v>0</v>
      </c>
      <c r="V78">
        <f t="shared" ref="V78:V84" si="78">CW78*I78</f>
        <v>0</v>
      </c>
      <c r="W78">
        <f t="shared" ref="W78:W84" si="79">ROUND(CX78*I78,2)</f>
        <v>0</v>
      </c>
      <c r="X78">
        <f t="shared" ref="X78:Y84" si="80">ROUND(CY78,2)</f>
        <v>0</v>
      </c>
      <c r="Y78">
        <f t="shared" si="80"/>
        <v>0</v>
      </c>
      <c r="AA78">
        <v>80889179</v>
      </c>
      <c r="AB78">
        <f t="shared" ref="AB78:AB84" si="81">ROUND((AC78+AD78+AF78),6)</f>
        <v>31324.26</v>
      </c>
      <c r="AC78">
        <f>ROUND(((ES78*66)),6)</f>
        <v>723.36</v>
      </c>
      <c r="AD78">
        <f>ROUND(((((ET78*66))-((EU78*66)))+AE78),6)</f>
        <v>30600.9</v>
      </c>
      <c r="AE78">
        <f t="shared" ref="AE78:AF80" si="82">ROUND(((EU78*66)),6)</f>
        <v>14463.9</v>
      </c>
      <c r="AF78">
        <f t="shared" si="82"/>
        <v>0</v>
      </c>
      <c r="AG78">
        <f t="shared" ref="AG78:AG84" si="83">ROUND((AP78),6)</f>
        <v>0</v>
      </c>
      <c r="AH78">
        <f t="shared" ref="AH78:AI80" si="84">((EW78*66))</f>
        <v>0</v>
      </c>
      <c r="AI78">
        <f t="shared" si="84"/>
        <v>0</v>
      </c>
      <c r="AJ78">
        <f t="shared" ref="AJ78:AJ84" si="85">(AS78)</f>
        <v>0</v>
      </c>
      <c r="AK78">
        <v>474.61</v>
      </c>
      <c r="AL78">
        <v>10.96</v>
      </c>
      <c r="AM78">
        <v>463.65</v>
      </c>
      <c r="AN78">
        <v>219.15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70</v>
      </c>
      <c r="AU78">
        <v>10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4</v>
      </c>
      <c r="BJ78" t="s">
        <v>34</v>
      </c>
      <c r="BM78">
        <v>0</v>
      </c>
      <c r="BN78">
        <v>0</v>
      </c>
      <c r="BO78" t="s">
        <v>3</v>
      </c>
      <c r="BP78">
        <v>0</v>
      </c>
      <c r="BQ78">
        <v>1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70</v>
      </c>
      <c r="CA78">
        <v>10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ref="CP78:CP84" si="86">(P78+Q78+S78)</f>
        <v>4103147.59</v>
      </c>
      <c r="CQ78">
        <f t="shared" ref="CQ78:CQ84" si="87">(AC78*BC78*AW78)</f>
        <v>723.36</v>
      </c>
      <c r="CR78">
        <f>(((((ET78*66))*BB78-((EU78*66))*BS78)+AE78*BS78)*AV78)</f>
        <v>30600.899999999998</v>
      </c>
      <c r="CS78">
        <f t="shared" ref="CS78:CS84" si="88">(AE78*BS78*AV78)</f>
        <v>14463.9</v>
      </c>
      <c r="CT78">
        <f t="shared" ref="CT78:CT84" si="89">(AF78*BA78*AV78)</f>
        <v>0</v>
      </c>
      <c r="CU78">
        <f t="shared" ref="CU78:CU84" si="90">AG78</f>
        <v>0</v>
      </c>
      <c r="CV78">
        <f t="shared" ref="CV78:CV84" si="91">(AH78*AV78)</f>
        <v>0</v>
      </c>
      <c r="CW78">
        <f t="shared" ref="CW78:CX84" si="92">AI78</f>
        <v>0</v>
      </c>
      <c r="CX78">
        <f t="shared" si="92"/>
        <v>0</v>
      </c>
      <c r="CY78">
        <f t="shared" ref="CY78:CY84" si="93">((S78*BZ78)/100)</f>
        <v>0</v>
      </c>
      <c r="CZ78">
        <f t="shared" ref="CZ78:CZ84" si="94">((S78*CA78)/100)</f>
        <v>0</v>
      </c>
      <c r="DC78" t="s">
        <v>3</v>
      </c>
      <c r="DD78" t="s">
        <v>125</v>
      </c>
      <c r="DE78" t="s">
        <v>125</v>
      </c>
      <c r="DF78" t="s">
        <v>125</v>
      </c>
      <c r="DG78" t="s">
        <v>125</v>
      </c>
      <c r="DH78" t="s">
        <v>3</v>
      </c>
      <c r="DI78" t="s">
        <v>125</v>
      </c>
      <c r="DJ78" t="s">
        <v>125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1005</v>
      </c>
      <c r="DV78" t="s">
        <v>20</v>
      </c>
      <c r="DW78" t="s">
        <v>20</v>
      </c>
      <c r="DX78">
        <v>1000</v>
      </c>
      <c r="DZ78" t="s">
        <v>3</v>
      </c>
      <c r="EA78" t="s">
        <v>3</v>
      </c>
      <c r="EB78" t="s">
        <v>3</v>
      </c>
      <c r="EC78" t="s">
        <v>3</v>
      </c>
      <c r="EE78">
        <v>80196140</v>
      </c>
      <c r="EF78">
        <v>1</v>
      </c>
      <c r="EG78" t="s">
        <v>23</v>
      </c>
      <c r="EH78">
        <v>0</v>
      </c>
      <c r="EI78" t="s">
        <v>3</v>
      </c>
      <c r="EJ78">
        <v>4</v>
      </c>
      <c r="EK78">
        <v>0</v>
      </c>
      <c r="EL78" t="s">
        <v>24</v>
      </c>
      <c r="EM78" t="s">
        <v>25</v>
      </c>
      <c r="EO78" t="s">
        <v>3</v>
      </c>
      <c r="EQ78">
        <v>0</v>
      </c>
      <c r="ER78">
        <v>474.61</v>
      </c>
      <c r="ES78">
        <v>10.96</v>
      </c>
      <c r="ET78">
        <v>463.65</v>
      </c>
      <c r="EU78">
        <v>219.15</v>
      </c>
      <c r="EV78">
        <v>0</v>
      </c>
      <c r="EW78">
        <v>0</v>
      </c>
      <c r="EX78">
        <v>0</v>
      </c>
      <c r="EY78">
        <v>0</v>
      </c>
      <c r="FQ78">
        <v>0</v>
      </c>
      <c r="FR78">
        <v>0</v>
      </c>
      <c r="FS78">
        <v>0</v>
      </c>
      <c r="FX78">
        <v>70</v>
      </c>
      <c r="FY78">
        <v>10</v>
      </c>
      <c r="GA78" t="s">
        <v>3</v>
      </c>
      <c r="GD78">
        <v>0</v>
      </c>
      <c r="GF78">
        <v>-64890484</v>
      </c>
      <c r="GG78">
        <v>2</v>
      </c>
      <c r="GH78">
        <v>1</v>
      </c>
      <c r="GI78">
        <v>-2</v>
      </c>
      <c r="GJ78">
        <v>0</v>
      </c>
      <c r="GK78">
        <f>ROUND(R78*(R12)/100,2)</f>
        <v>2046187.77</v>
      </c>
      <c r="GL78">
        <f t="shared" ref="GL78:GL84" si="95">ROUND(IF(AND(BH78=3,BI78=3,FS78&lt;&gt;0),P78,0),2)</f>
        <v>0</v>
      </c>
      <c r="GM78">
        <f t="shared" ref="GM78:GM84" si="96">ROUND(O78+X78+Y78+GK78,2)+GX78</f>
        <v>6149335.3600000003</v>
      </c>
      <c r="GN78">
        <f t="shared" ref="GN78:GN84" si="97">IF(OR(BI78=0,BI78=1),GM78-GX78,0)</f>
        <v>0</v>
      </c>
      <c r="GO78">
        <f t="shared" ref="GO78:GO84" si="98">IF(BI78=2,GM78-GX78,0)</f>
        <v>0</v>
      </c>
      <c r="GP78">
        <f t="shared" ref="GP78:GP84" si="99">IF(BI78=4,GM78-GX78,0)</f>
        <v>6149335.3600000003</v>
      </c>
      <c r="GR78">
        <v>0</v>
      </c>
      <c r="GS78">
        <v>3</v>
      </c>
      <c r="GT78">
        <v>0</v>
      </c>
      <c r="GU78" t="s">
        <v>3</v>
      </c>
      <c r="GV78">
        <f t="shared" ref="GV78:GV84" si="100">ROUND((GT78),6)</f>
        <v>0</v>
      </c>
      <c r="GW78">
        <v>1</v>
      </c>
      <c r="GX78">
        <f t="shared" ref="GX78:GX84" si="101">ROUND(HC78*I78,2)</f>
        <v>0</v>
      </c>
      <c r="HA78">
        <v>0</v>
      </c>
      <c r="HB78">
        <v>0</v>
      </c>
      <c r="HC78">
        <f t="shared" ref="HC78:HC84" si="102">GV78*GW78</f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HS78">
        <v>0</v>
      </c>
      <c r="IK78">
        <v>0</v>
      </c>
    </row>
    <row r="79" spans="1:245" x14ac:dyDescent="0.25">
      <c r="A79">
        <v>17</v>
      </c>
      <c r="B79">
        <v>1</v>
      </c>
      <c r="C79">
        <f>ROW(SmtRes!A18)</f>
        <v>18</v>
      </c>
      <c r="D79">
        <f>ROW(EtalonRes!A18)</f>
        <v>18</v>
      </c>
      <c r="E79" t="s">
        <v>126</v>
      </c>
      <c r="F79" t="s">
        <v>41</v>
      </c>
      <c r="G79" t="s">
        <v>42</v>
      </c>
      <c r="H79" t="s">
        <v>29</v>
      </c>
      <c r="I79">
        <v>327.47359999999998</v>
      </c>
      <c r="J79">
        <v>0</v>
      </c>
      <c r="K79">
        <v>327.47359999999998</v>
      </c>
      <c r="O79">
        <f t="shared" si="71"/>
        <v>1371145.06</v>
      </c>
      <c r="P79">
        <f t="shared" si="72"/>
        <v>0</v>
      </c>
      <c r="Q79">
        <f t="shared" si="73"/>
        <v>0</v>
      </c>
      <c r="R79">
        <f t="shared" si="74"/>
        <v>0</v>
      </c>
      <c r="S79">
        <f t="shared" si="75"/>
        <v>1371145.06</v>
      </c>
      <c r="T79">
        <f t="shared" si="76"/>
        <v>0</v>
      </c>
      <c r="U79">
        <f t="shared" si="77"/>
        <v>3025.8560640000001</v>
      </c>
      <c r="V79">
        <f t="shared" si="78"/>
        <v>0</v>
      </c>
      <c r="W79">
        <f t="shared" si="79"/>
        <v>0</v>
      </c>
      <c r="X79">
        <f t="shared" si="80"/>
        <v>959801.54</v>
      </c>
      <c r="Y79">
        <f t="shared" si="80"/>
        <v>137114.51</v>
      </c>
      <c r="AA79">
        <v>80889179</v>
      </c>
      <c r="AB79">
        <f t="shared" si="81"/>
        <v>4187.04</v>
      </c>
      <c r="AC79">
        <f>ROUND(((ES79*66)),6)</f>
        <v>0</v>
      </c>
      <c r="AD79">
        <f>ROUND(((((ET79*66))-((EU79*66)))+AE79),6)</f>
        <v>0</v>
      </c>
      <c r="AE79">
        <f t="shared" si="82"/>
        <v>0</v>
      </c>
      <c r="AF79">
        <f t="shared" si="82"/>
        <v>4187.04</v>
      </c>
      <c r="AG79">
        <f t="shared" si="83"/>
        <v>0</v>
      </c>
      <c r="AH79">
        <f t="shared" si="84"/>
        <v>9.24</v>
      </c>
      <c r="AI79">
        <f t="shared" si="84"/>
        <v>0</v>
      </c>
      <c r="AJ79">
        <f t="shared" si="85"/>
        <v>0</v>
      </c>
      <c r="AK79">
        <v>63.44</v>
      </c>
      <c r="AL79">
        <v>0</v>
      </c>
      <c r="AM79">
        <v>0</v>
      </c>
      <c r="AN79">
        <v>0</v>
      </c>
      <c r="AO79">
        <v>63.44</v>
      </c>
      <c r="AP79">
        <v>0</v>
      </c>
      <c r="AQ79">
        <v>0.14000000000000001</v>
      </c>
      <c r="AR79">
        <v>0</v>
      </c>
      <c r="AS79">
        <v>0</v>
      </c>
      <c r="AT79">
        <v>70</v>
      </c>
      <c r="AU79">
        <v>10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43</v>
      </c>
      <c r="BM79">
        <v>0</v>
      </c>
      <c r="BN79">
        <v>0</v>
      </c>
      <c r="BO79" t="s">
        <v>3</v>
      </c>
      <c r="BP79">
        <v>0</v>
      </c>
      <c r="BQ79">
        <v>1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70</v>
      </c>
      <c r="CA79">
        <v>10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86"/>
        <v>1371145.06</v>
      </c>
      <c r="CQ79">
        <f t="shared" si="87"/>
        <v>0</v>
      </c>
      <c r="CR79">
        <f>(((((ET79*66))*BB79-((EU79*66))*BS79)+AE79*BS79)*AV79)</f>
        <v>0</v>
      </c>
      <c r="CS79">
        <f t="shared" si="88"/>
        <v>0</v>
      </c>
      <c r="CT79">
        <f t="shared" si="89"/>
        <v>4187.04</v>
      </c>
      <c r="CU79">
        <f t="shared" si="90"/>
        <v>0</v>
      </c>
      <c r="CV79">
        <f t="shared" si="91"/>
        <v>9.24</v>
      </c>
      <c r="CW79">
        <f t="shared" si="92"/>
        <v>0</v>
      </c>
      <c r="CX79">
        <f t="shared" si="92"/>
        <v>0</v>
      </c>
      <c r="CY79">
        <f t="shared" si="93"/>
        <v>959801.54200000002</v>
      </c>
      <c r="CZ79">
        <f t="shared" si="94"/>
        <v>137114.50600000002</v>
      </c>
      <c r="DC79" t="s">
        <v>3</v>
      </c>
      <c r="DD79" t="s">
        <v>125</v>
      </c>
      <c r="DE79" t="s">
        <v>125</v>
      </c>
      <c r="DF79" t="s">
        <v>125</v>
      </c>
      <c r="DG79" t="s">
        <v>125</v>
      </c>
      <c r="DH79" t="s">
        <v>3</v>
      </c>
      <c r="DI79" t="s">
        <v>125</v>
      </c>
      <c r="DJ79" t="s">
        <v>125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1005</v>
      </c>
      <c r="DV79" t="s">
        <v>29</v>
      </c>
      <c r="DW79" t="s">
        <v>29</v>
      </c>
      <c r="DX79">
        <v>100</v>
      </c>
      <c r="DZ79" t="s">
        <v>3</v>
      </c>
      <c r="EA79" t="s">
        <v>3</v>
      </c>
      <c r="EB79" t="s">
        <v>3</v>
      </c>
      <c r="EC79" t="s">
        <v>3</v>
      </c>
      <c r="EE79">
        <v>80196140</v>
      </c>
      <c r="EF79">
        <v>1</v>
      </c>
      <c r="EG79" t="s">
        <v>23</v>
      </c>
      <c r="EH79">
        <v>0</v>
      </c>
      <c r="EI79" t="s">
        <v>3</v>
      </c>
      <c r="EJ79">
        <v>4</v>
      </c>
      <c r="EK79">
        <v>0</v>
      </c>
      <c r="EL79" t="s">
        <v>24</v>
      </c>
      <c r="EM79" t="s">
        <v>25</v>
      </c>
      <c r="EO79" t="s">
        <v>3</v>
      </c>
      <c r="EQ79">
        <v>0</v>
      </c>
      <c r="ER79">
        <v>63.44</v>
      </c>
      <c r="ES79">
        <v>0</v>
      </c>
      <c r="ET79">
        <v>0</v>
      </c>
      <c r="EU79">
        <v>0</v>
      </c>
      <c r="EV79">
        <v>63.44</v>
      </c>
      <c r="EW79">
        <v>0.14000000000000001</v>
      </c>
      <c r="EX79">
        <v>0</v>
      </c>
      <c r="EY79">
        <v>0</v>
      </c>
      <c r="FQ79">
        <v>0</v>
      </c>
      <c r="FR79">
        <v>0</v>
      </c>
      <c r="FS79">
        <v>0</v>
      </c>
      <c r="FX79">
        <v>70</v>
      </c>
      <c r="FY79">
        <v>10</v>
      </c>
      <c r="GA79" t="s">
        <v>3</v>
      </c>
      <c r="GD79">
        <v>0</v>
      </c>
      <c r="GF79">
        <v>-502436687</v>
      </c>
      <c r="GG79">
        <v>2</v>
      </c>
      <c r="GH79">
        <v>1</v>
      </c>
      <c r="GI79">
        <v>-2</v>
      </c>
      <c r="GJ79">
        <v>0</v>
      </c>
      <c r="GK79">
        <f>ROUND(R79*(R12)/100,2)</f>
        <v>0</v>
      </c>
      <c r="GL79">
        <f t="shared" si="95"/>
        <v>0</v>
      </c>
      <c r="GM79">
        <f t="shared" si="96"/>
        <v>2468061.11</v>
      </c>
      <c r="GN79">
        <f t="shared" si="97"/>
        <v>0</v>
      </c>
      <c r="GO79">
        <f t="shared" si="98"/>
        <v>0</v>
      </c>
      <c r="GP79">
        <f t="shared" si="99"/>
        <v>2468061.11</v>
      </c>
      <c r="GR79">
        <v>0</v>
      </c>
      <c r="GS79">
        <v>3</v>
      </c>
      <c r="GT79">
        <v>0</v>
      </c>
      <c r="GU79" t="s">
        <v>3</v>
      </c>
      <c r="GV79">
        <f t="shared" si="100"/>
        <v>0</v>
      </c>
      <c r="GW79">
        <v>1</v>
      </c>
      <c r="GX79">
        <f t="shared" si="101"/>
        <v>0</v>
      </c>
      <c r="HA79">
        <v>0</v>
      </c>
      <c r="HB79">
        <v>0</v>
      </c>
      <c r="HC79">
        <f t="shared" si="102"/>
        <v>0</v>
      </c>
      <c r="HE79" t="s">
        <v>3</v>
      </c>
      <c r="HF79" t="s">
        <v>3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HS79">
        <v>0</v>
      </c>
      <c r="IK79">
        <v>0</v>
      </c>
    </row>
    <row r="80" spans="1:245" x14ac:dyDescent="0.25">
      <c r="A80">
        <v>17</v>
      </c>
      <c r="B80">
        <v>1</v>
      </c>
      <c r="C80">
        <f>ROW(SmtRes!A19)</f>
        <v>19</v>
      </c>
      <c r="D80">
        <f>ROW(EtalonRes!A19)</f>
        <v>19</v>
      </c>
      <c r="E80" t="s">
        <v>3</v>
      </c>
      <c r="F80" t="s">
        <v>45</v>
      </c>
      <c r="G80" t="s">
        <v>46</v>
      </c>
      <c r="H80" t="s">
        <v>29</v>
      </c>
      <c r="I80">
        <v>128.0806</v>
      </c>
      <c r="J80">
        <v>0</v>
      </c>
      <c r="K80">
        <v>128.0806</v>
      </c>
      <c r="O80">
        <f t="shared" si="71"/>
        <v>919298.51</v>
      </c>
      <c r="P80">
        <f t="shared" si="72"/>
        <v>0</v>
      </c>
      <c r="Q80">
        <f t="shared" si="73"/>
        <v>0</v>
      </c>
      <c r="R80">
        <f t="shared" si="74"/>
        <v>0</v>
      </c>
      <c r="S80">
        <f t="shared" si="75"/>
        <v>919298.51</v>
      </c>
      <c r="T80">
        <f t="shared" si="76"/>
        <v>0</v>
      </c>
      <c r="U80">
        <f t="shared" si="77"/>
        <v>2028.7967040000001</v>
      </c>
      <c r="V80">
        <f t="shared" si="78"/>
        <v>0</v>
      </c>
      <c r="W80">
        <f t="shared" si="79"/>
        <v>0</v>
      </c>
      <c r="X80">
        <f t="shared" si="80"/>
        <v>643508.96</v>
      </c>
      <c r="Y80">
        <f t="shared" si="80"/>
        <v>91929.85</v>
      </c>
      <c r="AA80">
        <v>-1</v>
      </c>
      <c r="AB80">
        <f t="shared" si="81"/>
        <v>7177.5</v>
      </c>
      <c r="AC80">
        <f>ROUND(((ES80*66)),6)</f>
        <v>0</v>
      </c>
      <c r="AD80">
        <f>ROUND(((((ET80*66))-((EU80*66)))+AE80),6)</f>
        <v>0</v>
      </c>
      <c r="AE80">
        <f t="shared" si="82"/>
        <v>0</v>
      </c>
      <c r="AF80">
        <f t="shared" si="82"/>
        <v>7177.5</v>
      </c>
      <c r="AG80">
        <f t="shared" si="83"/>
        <v>0</v>
      </c>
      <c r="AH80">
        <f t="shared" si="84"/>
        <v>15.84</v>
      </c>
      <c r="AI80">
        <f t="shared" si="84"/>
        <v>0</v>
      </c>
      <c r="AJ80">
        <f t="shared" si="85"/>
        <v>0</v>
      </c>
      <c r="AK80">
        <v>108.75</v>
      </c>
      <c r="AL80">
        <v>0</v>
      </c>
      <c r="AM80">
        <v>0</v>
      </c>
      <c r="AN80">
        <v>0</v>
      </c>
      <c r="AO80">
        <v>108.75</v>
      </c>
      <c r="AP80">
        <v>0</v>
      </c>
      <c r="AQ80">
        <v>0.24</v>
      </c>
      <c r="AR80">
        <v>0</v>
      </c>
      <c r="AS80">
        <v>0</v>
      </c>
      <c r="AT80">
        <v>70</v>
      </c>
      <c r="AU80">
        <v>10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47</v>
      </c>
      <c r="BM80">
        <v>0</v>
      </c>
      <c r="BN80">
        <v>0</v>
      </c>
      <c r="BO80" t="s">
        <v>3</v>
      </c>
      <c r="BP80">
        <v>0</v>
      </c>
      <c r="BQ80">
        <v>1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70</v>
      </c>
      <c r="CA80">
        <v>10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86"/>
        <v>919298.51</v>
      </c>
      <c r="CQ80">
        <f t="shared" si="87"/>
        <v>0</v>
      </c>
      <c r="CR80">
        <f>(((((ET80*66))*BB80-((EU80*66))*BS80)+AE80*BS80)*AV80)</f>
        <v>0</v>
      </c>
      <c r="CS80">
        <f t="shared" si="88"/>
        <v>0</v>
      </c>
      <c r="CT80">
        <f t="shared" si="89"/>
        <v>7177.5</v>
      </c>
      <c r="CU80">
        <f t="shared" si="90"/>
        <v>0</v>
      </c>
      <c r="CV80">
        <f t="shared" si="91"/>
        <v>15.84</v>
      </c>
      <c r="CW80">
        <f t="shared" si="92"/>
        <v>0</v>
      </c>
      <c r="CX80">
        <f t="shared" si="92"/>
        <v>0</v>
      </c>
      <c r="CY80">
        <f t="shared" si="93"/>
        <v>643508.95700000005</v>
      </c>
      <c r="CZ80">
        <f t="shared" si="94"/>
        <v>91929.850999999995</v>
      </c>
      <c r="DC80" t="s">
        <v>3</v>
      </c>
      <c r="DD80" t="s">
        <v>125</v>
      </c>
      <c r="DE80" t="s">
        <v>125</v>
      </c>
      <c r="DF80" t="s">
        <v>125</v>
      </c>
      <c r="DG80" t="s">
        <v>125</v>
      </c>
      <c r="DH80" t="s">
        <v>3</v>
      </c>
      <c r="DI80" t="s">
        <v>125</v>
      </c>
      <c r="DJ80" t="s">
        <v>125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1005</v>
      </c>
      <c r="DV80" t="s">
        <v>29</v>
      </c>
      <c r="DW80" t="s">
        <v>29</v>
      </c>
      <c r="DX80">
        <v>100</v>
      </c>
      <c r="DZ80" t="s">
        <v>3</v>
      </c>
      <c r="EA80" t="s">
        <v>3</v>
      </c>
      <c r="EB80" t="s">
        <v>3</v>
      </c>
      <c r="EC80" t="s">
        <v>3</v>
      </c>
      <c r="EE80">
        <v>80196140</v>
      </c>
      <c r="EF80">
        <v>1</v>
      </c>
      <c r="EG80" t="s">
        <v>23</v>
      </c>
      <c r="EH80">
        <v>0</v>
      </c>
      <c r="EI80" t="s">
        <v>3</v>
      </c>
      <c r="EJ80">
        <v>4</v>
      </c>
      <c r="EK80">
        <v>0</v>
      </c>
      <c r="EL80" t="s">
        <v>24</v>
      </c>
      <c r="EM80" t="s">
        <v>25</v>
      </c>
      <c r="EO80" t="s">
        <v>3</v>
      </c>
      <c r="EQ80">
        <v>1024</v>
      </c>
      <c r="ER80">
        <v>108.75</v>
      </c>
      <c r="ES80">
        <v>0</v>
      </c>
      <c r="ET80">
        <v>0</v>
      </c>
      <c r="EU80">
        <v>0</v>
      </c>
      <c r="EV80">
        <v>108.75</v>
      </c>
      <c r="EW80">
        <v>0.24</v>
      </c>
      <c r="EX80">
        <v>0</v>
      </c>
      <c r="EY80">
        <v>0</v>
      </c>
      <c r="FQ80">
        <v>0</v>
      </c>
      <c r="FR80">
        <v>0</v>
      </c>
      <c r="FS80">
        <v>0</v>
      </c>
      <c r="FX80">
        <v>70</v>
      </c>
      <c r="FY80">
        <v>10</v>
      </c>
      <c r="GA80" t="s">
        <v>3</v>
      </c>
      <c r="GD80">
        <v>0</v>
      </c>
      <c r="GF80">
        <v>-2145585580</v>
      </c>
      <c r="GG80">
        <v>2</v>
      </c>
      <c r="GH80">
        <v>1</v>
      </c>
      <c r="GI80">
        <v>-2</v>
      </c>
      <c r="GJ80">
        <v>0</v>
      </c>
      <c r="GK80">
        <f>ROUND(R80*(R12)/100,2)</f>
        <v>0</v>
      </c>
      <c r="GL80">
        <f t="shared" si="95"/>
        <v>0</v>
      </c>
      <c r="GM80">
        <f t="shared" si="96"/>
        <v>1654737.32</v>
      </c>
      <c r="GN80">
        <f t="shared" si="97"/>
        <v>0</v>
      </c>
      <c r="GO80">
        <f t="shared" si="98"/>
        <v>0</v>
      </c>
      <c r="GP80">
        <f t="shared" si="99"/>
        <v>1654737.32</v>
      </c>
      <c r="GR80">
        <v>0</v>
      </c>
      <c r="GS80">
        <v>3</v>
      </c>
      <c r="GT80">
        <v>0</v>
      </c>
      <c r="GU80" t="s">
        <v>3</v>
      </c>
      <c r="GV80">
        <f t="shared" si="100"/>
        <v>0</v>
      </c>
      <c r="GW80">
        <v>1</v>
      </c>
      <c r="GX80">
        <f t="shared" si="101"/>
        <v>0</v>
      </c>
      <c r="HA80">
        <v>0</v>
      </c>
      <c r="HB80">
        <v>0</v>
      </c>
      <c r="HC80">
        <f t="shared" si="102"/>
        <v>0</v>
      </c>
      <c r="HE80" t="s">
        <v>3</v>
      </c>
      <c r="HF80" t="s">
        <v>3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HS80">
        <v>0</v>
      </c>
      <c r="IK80">
        <v>0</v>
      </c>
    </row>
    <row r="81" spans="1:245" x14ac:dyDescent="0.25">
      <c r="A81">
        <v>17</v>
      </c>
      <c r="B81">
        <v>1</v>
      </c>
      <c r="C81">
        <f>ROW(SmtRes!A21)</f>
        <v>21</v>
      </c>
      <c r="D81">
        <f>ROW(EtalonRes!A21)</f>
        <v>21</v>
      </c>
      <c r="E81" t="s">
        <v>127</v>
      </c>
      <c r="F81" t="s">
        <v>128</v>
      </c>
      <c r="G81" t="s">
        <v>129</v>
      </c>
      <c r="H81" t="s">
        <v>20</v>
      </c>
      <c r="I81">
        <v>163.73680999999999</v>
      </c>
      <c r="J81">
        <v>0</v>
      </c>
      <c r="K81">
        <v>163.73680999999999</v>
      </c>
      <c r="O81">
        <f t="shared" si="71"/>
        <v>1760864.95</v>
      </c>
      <c r="P81">
        <f t="shared" si="72"/>
        <v>43966.61</v>
      </c>
      <c r="Q81">
        <f t="shared" si="73"/>
        <v>1716898.34</v>
      </c>
      <c r="R81">
        <f t="shared" si="74"/>
        <v>811502.55</v>
      </c>
      <c r="S81">
        <f t="shared" si="75"/>
        <v>0</v>
      </c>
      <c r="T81">
        <f t="shared" si="76"/>
        <v>0</v>
      </c>
      <c r="U81">
        <f t="shared" si="77"/>
        <v>0</v>
      </c>
      <c r="V81">
        <f t="shared" si="78"/>
        <v>0</v>
      </c>
      <c r="W81">
        <f t="shared" si="79"/>
        <v>0</v>
      </c>
      <c r="X81">
        <f t="shared" si="80"/>
        <v>0</v>
      </c>
      <c r="Y81">
        <f t="shared" si="80"/>
        <v>0</v>
      </c>
      <c r="AA81">
        <v>80889179</v>
      </c>
      <c r="AB81">
        <f t="shared" si="81"/>
        <v>10754.24</v>
      </c>
      <c r="AC81">
        <f>ROUND(((ES81*14)),6)</f>
        <v>268.52</v>
      </c>
      <c r="AD81">
        <f>ROUND(((((ET81*14))-((EU81*14)))+AE81),6)</f>
        <v>10485.719999999999</v>
      </c>
      <c r="AE81">
        <f>ROUND(((EU81*14)),6)</f>
        <v>4956.1400000000003</v>
      </c>
      <c r="AF81">
        <f>ROUND(((EV81*14)),6)</f>
        <v>0</v>
      </c>
      <c r="AG81">
        <f t="shared" si="83"/>
        <v>0</v>
      </c>
      <c r="AH81">
        <f>((EW81*14))</f>
        <v>0</v>
      </c>
      <c r="AI81">
        <f>((EX81*14))</f>
        <v>0</v>
      </c>
      <c r="AJ81">
        <f t="shared" si="85"/>
        <v>0</v>
      </c>
      <c r="AK81">
        <v>768.16</v>
      </c>
      <c r="AL81">
        <v>19.18</v>
      </c>
      <c r="AM81">
        <v>748.98</v>
      </c>
      <c r="AN81">
        <v>354.01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70</v>
      </c>
      <c r="AU81">
        <v>10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130</v>
      </c>
      <c r="BM81">
        <v>0</v>
      </c>
      <c r="BN81">
        <v>0</v>
      </c>
      <c r="BO81" t="s">
        <v>3</v>
      </c>
      <c r="BP81">
        <v>0</v>
      </c>
      <c r="BQ81">
        <v>1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70</v>
      </c>
      <c r="CA81">
        <v>10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86"/>
        <v>1760864.9500000002</v>
      </c>
      <c r="CQ81">
        <f t="shared" si="87"/>
        <v>268.52</v>
      </c>
      <c r="CR81">
        <f>(((((ET81*14))*BB81-((EU81*14))*BS81)+AE81*BS81)*AV81)</f>
        <v>10485.720000000001</v>
      </c>
      <c r="CS81">
        <f t="shared" si="88"/>
        <v>4956.1400000000003</v>
      </c>
      <c r="CT81">
        <f t="shared" si="89"/>
        <v>0</v>
      </c>
      <c r="CU81">
        <f t="shared" si="90"/>
        <v>0</v>
      </c>
      <c r="CV81">
        <f t="shared" si="91"/>
        <v>0</v>
      </c>
      <c r="CW81">
        <f t="shared" si="92"/>
        <v>0</v>
      </c>
      <c r="CX81">
        <f t="shared" si="92"/>
        <v>0</v>
      </c>
      <c r="CY81">
        <f t="shared" si="93"/>
        <v>0</v>
      </c>
      <c r="CZ81">
        <f t="shared" si="94"/>
        <v>0</v>
      </c>
      <c r="DC81" t="s">
        <v>3</v>
      </c>
      <c r="DD81" t="s">
        <v>131</v>
      </c>
      <c r="DE81" t="s">
        <v>131</v>
      </c>
      <c r="DF81" t="s">
        <v>131</v>
      </c>
      <c r="DG81" t="s">
        <v>131</v>
      </c>
      <c r="DH81" t="s">
        <v>3</v>
      </c>
      <c r="DI81" t="s">
        <v>131</v>
      </c>
      <c r="DJ81" t="s">
        <v>131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1005</v>
      </c>
      <c r="DV81" t="s">
        <v>20</v>
      </c>
      <c r="DW81" t="s">
        <v>20</v>
      </c>
      <c r="DX81">
        <v>1000</v>
      </c>
      <c r="DZ81" t="s">
        <v>3</v>
      </c>
      <c r="EA81" t="s">
        <v>3</v>
      </c>
      <c r="EB81" t="s">
        <v>3</v>
      </c>
      <c r="EC81" t="s">
        <v>3</v>
      </c>
      <c r="EE81">
        <v>80196140</v>
      </c>
      <c r="EF81">
        <v>1</v>
      </c>
      <c r="EG81" t="s">
        <v>23</v>
      </c>
      <c r="EH81">
        <v>0</v>
      </c>
      <c r="EI81" t="s">
        <v>3</v>
      </c>
      <c r="EJ81">
        <v>4</v>
      </c>
      <c r="EK81">
        <v>0</v>
      </c>
      <c r="EL81" t="s">
        <v>24</v>
      </c>
      <c r="EM81" t="s">
        <v>25</v>
      </c>
      <c r="EO81" t="s">
        <v>3</v>
      </c>
      <c r="EQ81">
        <v>0</v>
      </c>
      <c r="ER81">
        <v>768.16</v>
      </c>
      <c r="ES81">
        <v>19.18</v>
      </c>
      <c r="ET81">
        <v>748.98</v>
      </c>
      <c r="EU81">
        <v>354.01</v>
      </c>
      <c r="EV81">
        <v>0</v>
      </c>
      <c r="EW81">
        <v>0</v>
      </c>
      <c r="EX81">
        <v>0</v>
      </c>
      <c r="EY81">
        <v>0</v>
      </c>
      <c r="FQ81">
        <v>0</v>
      </c>
      <c r="FR81">
        <v>0</v>
      </c>
      <c r="FS81">
        <v>0</v>
      </c>
      <c r="FX81">
        <v>70</v>
      </c>
      <c r="FY81">
        <v>10</v>
      </c>
      <c r="GA81" t="s">
        <v>3</v>
      </c>
      <c r="GD81">
        <v>0</v>
      </c>
      <c r="GF81">
        <v>-1951941252</v>
      </c>
      <c r="GG81">
        <v>2</v>
      </c>
      <c r="GH81">
        <v>1</v>
      </c>
      <c r="GI81">
        <v>-2</v>
      </c>
      <c r="GJ81">
        <v>0</v>
      </c>
      <c r="GK81">
        <f>ROUND(R81*(R12)/100,2)</f>
        <v>876422.75</v>
      </c>
      <c r="GL81">
        <f t="shared" si="95"/>
        <v>0</v>
      </c>
      <c r="GM81">
        <f t="shared" si="96"/>
        <v>2637287.7000000002</v>
      </c>
      <c r="GN81">
        <f t="shared" si="97"/>
        <v>0</v>
      </c>
      <c r="GO81">
        <f t="shared" si="98"/>
        <v>0</v>
      </c>
      <c r="GP81">
        <f t="shared" si="99"/>
        <v>2637287.7000000002</v>
      </c>
      <c r="GR81">
        <v>0</v>
      </c>
      <c r="GS81">
        <v>3</v>
      </c>
      <c r="GT81">
        <v>0</v>
      </c>
      <c r="GU81" t="s">
        <v>3</v>
      </c>
      <c r="GV81">
        <f t="shared" si="100"/>
        <v>0</v>
      </c>
      <c r="GW81">
        <v>1</v>
      </c>
      <c r="GX81">
        <f t="shared" si="101"/>
        <v>0</v>
      </c>
      <c r="HA81">
        <v>0</v>
      </c>
      <c r="HB81">
        <v>0</v>
      </c>
      <c r="HC81">
        <f t="shared" si="102"/>
        <v>0</v>
      </c>
      <c r="HE81" t="s">
        <v>3</v>
      </c>
      <c r="HF81" t="s">
        <v>3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HS81">
        <v>0</v>
      </c>
      <c r="IK81">
        <v>0</v>
      </c>
    </row>
    <row r="82" spans="1:245" x14ac:dyDescent="0.25">
      <c r="A82">
        <v>18</v>
      </c>
      <c r="B82">
        <v>1</v>
      </c>
      <c r="C82">
        <v>21</v>
      </c>
      <c r="E82" t="s">
        <v>132</v>
      </c>
      <c r="F82" t="s">
        <v>36</v>
      </c>
      <c r="G82" t="s">
        <v>37</v>
      </c>
      <c r="H82" t="s">
        <v>38</v>
      </c>
      <c r="I82">
        <f>I81*J82</f>
        <v>-802.31036900000004</v>
      </c>
      <c r="J82">
        <v>-4.9000000000000004</v>
      </c>
      <c r="K82">
        <v>-0.35</v>
      </c>
      <c r="O82">
        <f t="shared" si="71"/>
        <v>-43974.63</v>
      </c>
      <c r="P82">
        <f t="shared" si="72"/>
        <v>-43974.63</v>
      </c>
      <c r="Q82">
        <f t="shared" si="73"/>
        <v>0</v>
      </c>
      <c r="R82">
        <f t="shared" si="74"/>
        <v>0</v>
      </c>
      <c r="S82">
        <f t="shared" si="75"/>
        <v>0</v>
      </c>
      <c r="T82">
        <f t="shared" si="76"/>
        <v>0</v>
      </c>
      <c r="U82">
        <f t="shared" si="77"/>
        <v>0</v>
      </c>
      <c r="V82">
        <f t="shared" si="78"/>
        <v>0</v>
      </c>
      <c r="W82">
        <f t="shared" si="79"/>
        <v>0</v>
      </c>
      <c r="X82">
        <f t="shared" si="80"/>
        <v>0</v>
      </c>
      <c r="Y82">
        <f t="shared" si="80"/>
        <v>0</v>
      </c>
      <c r="AA82">
        <v>80889179</v>
      </c>
      <c r="AB82">
        <f t="shared" si="81"/>
        <v>54.81</v>
      </c>
      <c r="AC82">
        <f>ROUND((ES82),6)</f>
        <v>54.81</v>
      </c>
      <c r="AD82">
        <f>ROUND((((ET82)-(EU82))+AE82),6)</f>
        <v>0</v>
      </c>
      <c r="AE82">
        <f>ROUND((EU82),6)</f>
        <v>0</v>
      </c>
      <c r="AF82">
        <f>ROUND((EV82),6)</f>
        <v>0</v>
      </c>
      <c r="AG82">
        <f t="shared" si="83"/>
        <v>0</v>
      </c>
      <c r="AH82">
        <f>(EW82)</f>
        <v>0</v>
      </c>
      <c r="AI82">
        <f>(EX82)</f>
        <v>0</v>
      </c>
      <c r="AJ82">
        <f t="shared" si="85"/>
        <v>0</v>
      </c>
      <c r="AK82">
        <v>54.81</v>
      </c>
      <c r="AL82">
        <v>54.81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70</v>
      </c>
      <c r="AU82">
        <v>10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3</v>
      </c>
      <c r="BI82">
        <v>4</v>
      </c>
      <c r="BJ82" t="s">
        <v>39</v>
      </c>
      <c r="BM82">
        <v>0</v>
      </c>
      <c r="BN82">
        <v>0</v>
      </c>
      <c r="BO82" t="s">
        <v>3</v>
      </c>
      <c r="BP82">
        <v>0</v>
      </c>
      <c r="BQ82">
        <v>1</v>
      </c>
      <c r="BR82">
        <v>1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70</v>
      </c>
      <c r="CA82">
        <v>10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86"/>
        <v>-43974.63</v>
      </c>
      <c r="CQ82">
        <f t="shared" si="87"/>
        <v>54.81</v>
      </c>
      <c r="CR82">
        <f>((((ET82)*BB82-(EU82)*BS82)+AE82*BS82)*AV82)</f>
        <v>0</v>
      </c>
      <c r="CS82">
        <f t="shared" si="88"/>
        <v>0</v>
      </c>
      <c r="CT82">
        <f t="shared" si="89"/>
        <v>0</v>
      </c>
      <c r="CU82">
        <f t="shared" si="90"/>
        <v>0</v>
      </c>
      <c r="CV82">
        <f t="shared" si="91"/>
        <v>0</v>
      </c>
      <c r="CW82">
        <f t="shared" si="92"/>
        <v>0</v>
      </c>
      <c r="CX82">
        <f t="shared" si="92"/>
        <v>0</v>
      </c>
      <c r="CY82">
        <f t="shared" si="93"/>
        <v>0</v>
      </c>
      <c r="CZ82">
        <f t="shared" si="94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1007</v>
      </c>
      <c r="DV82" t="s">
        <v>38</v>
      </c>
      <c r="DW82" t="s">
        <v>38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80196140</v>
      </c>
      <c r="EF82">
        <v>1</v>
      </c>
      <c r="EG82" t="s">
        <v>23</v>
      </c>
      <c r="EH82">
        <v>0</v>
      </c>
      <c r="EI82" t="s">
        <v>3</v>
      </c>
      <c r="EJ82">
        <v>4</v>
      </c>
      <c r="EK82">
        <v>0</v>
      </c>
      <c r="EL82" t="s">
        <v>24</v>
      </c>
      <c r="EM82" t="s">
        <v>25</v>
      </c>
      <c r="EO82" t="s">
        <v>3</v>
      </c>
      <c r="EQ82">
        <v>0</v>
      </c>
      <c r="ER82">
        <v>54.81</v>
      </c>
      <c r="ES82">
        <v>54.81</v>
      </c>
      <c r="ET82">
        <v>0</v>
      </c>
      <c r="EU82">
        <v>0</v>
      </c>
      <c r="EV82">
        <v>0</v>
      </c>
      <c r="EW82">
        <v>0</v>
      </c>
      <c r="EX82">
        <v>0</v>
      </c>
      <c r="FQ82">
        <v>0</v>
      </c>
      <c r="FR82">
        <v>0</v>
      </c>
      <c r="FS82">
        <v>0</v>
      </c>
      <c r="FX82">
        <v>70</v>
      </c>
      <c r="FY82">
        <v>10</v>
      </c>
      <c r="GA82" t="s">
        <v>3</v>
      </c>
      <c r="GD82">
        <v>0</v>
      </c>
      <c r="GF82">
        <v>2112060389</v>
      </c>
      <c r="GG82">
        <v>2</v>
      </c>
      <c r="GH82">
        <v>1</v>
      </c>
      <c r="GI82">
        <v>-2</v>
      </c>
      <c r="GJ82">
        <v>0</v>
      </c>
      <c r="GK82">
        <f>ROUND(R82*(R12)/100,2)</f>
        <v>0</v>
      </c>
      <c r="GL82">
        <f t="shared" si="95"/>
        <v>0</v>
      </c>
      <c r="GM82">
        <f t="shared" si="96"/>
        <v>-43974.63</v>
      </c>
      <c r="GN82">
        <f t="shared" si="97"/>
        <v>0</v>
      </c>
      <c r="GO82">
        <f t="shared" si="98"/>
        <v>0</v>
      </c>
      <c r="GP82">
        <f t="shared" si="99"/>
        <v>-43974.63</v>
      </c>
      <c r="GR82">
        <v>0</v>
      </c>
      <c r="GS82">
        <v>3</v>
      </c>
      <c r="GT82">
        <v>0</v>
      </c>
      <c r="GU82" t="s">
        <v>3</v>
      </c>
      <c r="GV82">
        <f t="shared" si="100"/>
        <v>0</v>
      </c>
      <c r="GW82">
        <v>1</v>
      </c>
      <c r="GX82">
        <f t="shared" si="101"/>
        <v>0</v>
      </c>
      <c r="HA82">
        <v>0</v>
      </c>
      <c r="HB82">
        <v>0</v>
      </c>
      <c r="HC82">
        <f t="shared" si="102"/>
        <v>0</v>
      </c>
      <c r="HE82" t="s">
        <v>3</v>
      </c>
      <c r="HF82" t="s">
        <v>3</v>
      </c>
      <c r="HM82" t="s">
        <v>131</v>
      </c>
      <c r="HN82" t="s">
        <v>3</v>
      </c>
      <c r="HO82" t="s">
        <v>3</v>
      </c>
      <c r="HP82" t="s">
        <v>3</v>
      </c>
      <c r="HQ82" t="s">
        <v>3</v>
      </c>
      <c r="HS82">
        <v>0</v>
      </c>
      <c r="IK82">
        <v>0</v>
      </c>
    </row>
    <row r="83" spans="1:245" x14ac:dyDescent="0.25">
      <c r="A83">
        <v>17</v>
      </c>
      <c r="B83">
        <v>1</v>
      </c>
      <c r="C83">
        <f>ROW(SmtRes!A24)</f>
        <v>24</v>
      </c>
      <c r="D83">
        <f>ROW(EtalonRes!A24)</f>
        <v>24</v>
      </c>
      <c r="E83" t="s">
        <v>3</v>
      </c>
      <c r="F83" t="s">
        <v>133</v>
      </c>
      <c r="G83" t="s">
        <v>134</v>
      </c>
      <c r="H83" t="s">
        <v>20</v>
      </c>
      <c r="I83">
        <v>163.73680999999999</v>
      </c>
      <c r="J83">
        <v>0</v>
      </c>
      <c r="K83">
        <v>163.73680999999999</v>
      </c>
      <c r="O83">
        <f t="shared" si="71"/>
        <v>499551.18</v>
      </c>
      <c r="P83">
        <f t="shared" si="72"/>
        <v>114127.83</v>
      </c>
      <c r="Q83">
        <f t="shared" si="73"/>
        <v>385423.35</v>
      </c>
      <c r="R83">
        <f t="shared" si="74"/>
        <v>182170.3</v>
      </c>
      <c r="S83">
        <f t="shared" si="75"/>
        <v>0</v>
      </c>
      <c r="T83">
        <f t="shared" si="76"/>
        <v>0</v>
      </c>
      <c r="U83">
        <f t="shared" si="77"/>
        <v>0</v>
      </c>
      <c r="V83">
        <f t="shared" si="78"/>
        <v>0</v>
      </c>
      <c r="W83">
        <f t="shared" si="79"/>
        <v>0</v>
      </c>
      <c r="X83">
        <f t="shared" si="80"/>
        <v>0</v>
      </c>
      <c r="Y83">
        <f t="shared" si="80"/>
        <v>0</v>
      </c>
      <c r="AA83">
        <v>-1</v>
      </c>
      <c r="AB83">
        <f t="shared" si="81"/>
        <v>3050.94</v>
      </c>
      <c r="AC83">
        <f>ROUND(((ES83*2)),6)</f>
        <v>697.02</v>
      </c>
      <c r="AD83">
        <f>ROUND(((((ET83*2))-((EU83*2)))+AE83),6)</f>
        <v>2353.92</v>
      </c>
      <c r="AE83">
        <f>ROUND(((EU83*2)),6)</f>
        <v>1112.58</v>
      </c>
      <c r="AF83">
        <f>ROUND(((EV83*2)),6)</f>
        <v>0</v>
      </c>
      <c r="AG83">
        <f t="shared" si="83"/>
        <v>0</v>
      </c>
      <c r="AH83">
        <f>((EW83*2))</f>
        <v>0</v>
      </c>
      <c r="AI83">
        <f>((EX83*2))</f>
        <v>0</v>
      </c>
      <c r="AJ83">
        <f t="shared" si="85"/>
        <v>0</v>
      </c>
      <c r="AK83">
        <v>1525.47</v>
      </c>
      <c r="AL83">
        <v>348.51</v>
      </c>
      <c r="AM83">
        <v>1176.96</v>
      </c>
      <c r="AN83">
        <v>556.29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70</v>
      </c>
      <c r="AU83">
        <v>10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1</v>
      </c>
      <c r="BD83" t="s">
        <v>3</v>
      </c>
      <c r="BE83" t="s">
        <v>3</v>
      </c>
      <c r="BF83" t="s">
        <v>3</v>
      </c>
      <c r="BG83" t="s">
        <v>3</v>
      </c>
      <c r="BH83">
        <v>0</v>
      </c>
      <c r="BI83">
        <v>4</v>
      </c>
      <c r="BJ83" t="s">
        <v>135</v>
      </c>
      <c r="BM83">
        <v>0</v>
      </c>
      <c r="BN83">
        <v>0</v>
      </c>
      <c r="BO83" t="s">
        <v>3</v>
      </c>
      <c r="BP83">
        <v>0</v>
      </c>
      <c r="BQ83">
        <v>1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70</v>
      </c>
      <c r="CA83">
        <v>10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86"/>
        <v>499551.18</v>
      </c>
      <c r="CQ83">
        <f t="shared" si="87"/>
        <v>697.02</v>
      </c>
      <c r="CR83">
        <f>(((((ET83*2))*BB83-((EU83*2))*BS83)+AE83*BS83)*AV83)</f>
        <v>2353.92</v>
      </c>
      <c r="CS83">
        <f t="shared" si="88"/>
        <v>1112.58</v>
      </c>
      <c r="CT83">
        <f t="shared" si="89"/>
        <v>0</v>
      </c>
      <c r="CU83">
        <f t="shared" si="90"/>
        <v>0</v>
      </c>
      <c r="CV83">
        <f t="shared" si="91"/>
        <v>0</v>
      </c>
      <c r="CW83">
        <f t="shared" si="92"/>
        <v>0</v>
      </c>
      <c r="CX83">
        <f t="shared" si="92"/>
        <v>0</v>
      </c>
      <c r="CY83">
        <f t="shared" si="93"/>
        <v>0</v>
      </c>
      <c r="CZ83">
        <f t="shared" si="94"/>
        <v>0</v>
      </c>
      <c r="DC83" t="s">
        <v>3</v>
      </c>
      <c r="DD83" t="s">
        <v>136</v>
      </c>
      <c r="DE83" t="s">
        <v>136</v>
      </c>
      <c r="DF83" t="s">
        <v>136</v>
      </c>
      <c r="DG83" t="s">
        <v>136</v>
      </c>
      <c r="DH83" t="s">
        <v>3</v>
      </c>
      <c r="DI83" t="s">
        <v>136</v>
      </c>
      <c r="DJ83" t="s">
        <v>136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1005</v>
      </c>
      <c r="DV83" t="s">
        <v>20</v>
      </c>
      <c r="DW83" t="s">
        <v>20</v>
      </c>
      <c r="DX83">
        <v>1000</v>
      </c>
      <c r="DZ83" t="s">
        <v>3</v>
      </c>
      <c r="EA83" t="s">
        <v>3</v>
      </c>
      <c r="EB83" t="s">
        <v>3</v>
      </c>
      <c r="EC83" t="s">
        <v>3</v>
      </c>
      <c r="EE83">
        <v>80196140</v>
      </c>
      <c r="EF83">
        <v>1</v>
      </c>
      <c r="EG83" t="s">
        <v>23</v>
      </c>
      <c r="EH83">
        <v>0</v>
      </c>
      <c r="EI83" t="s">
        <v>3</v>
      </c>
      <c r="EJ83">
        <v>4</v>
      </c>
      <c r="EK83">
        <v>0</v>
      </c>
      <c r="EL83" t="s">
        <v>24</v>
      </c>
      <c r="EM83" t="s">
        <v>25</v>
      </c>
      <c r="EO83" t="s">
        <v>3</v>
      </c>
      <c r="EQ83">
        <v>1024</v>
      </c>
      <c r="ER83">
        <v>1525.47</v>
      </c>
      <c r="ES83">
        <v>348.51</v>
      </c>
      <c r="ET83">
        <v>1176.96</v>
      </c>
      <c r="EU83">
        <v>556.29</v>
      </c>
      <c r="EV83">
        <v>0</v>
      </c>
      <c r="EW83">
        <v>0</v>
      </c>
      <c r="EX83">
        <v>0</v>
      </c>
      <c r="EY83">
        <v>0</v>
      </c>
      <c r="FQ83">
        <v>0</v>
      </c>
      <c r="FR83">
        <v>0</v>
      </c>
      <c r="FS83">
        <v>0</v>
      </c>
      <c r="FX83">
        <v>70</v>
      </c>
      <c r="FY83">
        <v>10</v>
      </c>
      <c r="GA83" t="s">
        <v>3</v>
      </c>
      <c r="GD83">
        <v>0</v>
      </c>
      <c r="GF83">
        <v>508839597</v>
      </c>
      <c r="GG83">
        <v>2</v>
      </c>
      <c r="GH83">
        <v>1</v>
      </c>
      <c r="GI83">
        <v>-2</v>
      </c>
      <c r="GJ83">
        <v>0</v>
      </c>
      <c r="GK83">
        <f>ROUND(R83*(R12)/100,2)</f>
        <v>196743.92</v>
      </c>
      <c r="GL83">
        <f t="shared" si="95"/>
        <v>0</v>
      </c>
      <c r="GM83">
        <f t="shared" si="96"/>
        <v>696295.1</v>
      </c>
      <c r="GN83">
        <f t="shared" si="97"/>
        <v>0</v>
      </c>
      <c r="GO83">
        <f t="shared" si="98"/>
        <v>0</v>
      </c>
      <c r="GP83">
        <f t="shared" si="99"/>
        <v>696295.1</v>
      </c>
      <c r="GR83">
        <v>0</v>
      </c>
      <c r="GS83">
        <v>3</v>
      </c>
      <c r="GT83">
        <v>0</v>
      </c>
      <c r="GU83" t="s">
        <v>3</v>
      </c>
      <c r="GV83">
        <f t="shared" si="100"/>
        <v>0</v>
      </c>
      <c r="GW83">
        <v>1</v>
      </c>
      <c r="GX83">
        <f t="shared" si="101"/>
        <v>0</v>
      </c>
      <c r="HA83">
        <v>0</v>
      </c>
      <c r="HB83">
        <v>0</v>
      </c>
      <c r="HC83">
        <f t="shared" si="102"/>
        <v>0</v>
      </c>
      <c r="HE83" t="s">
        <v>3</v>
      </c>
      <c r="HF83" t="s">
        <v>3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HS83">
        <v>0</v>
      </c>
      <c r="IK83">
        <v>0</v>
      </c>
    </row>
    <row r="84" spans="1:245" x14ac:dyDescent="0.25">
      <c r="A84">
        <v>18</v>
      </c>
      <c r="B84">
        <v>1</v>
      </c>
      <c r="C84">
        <v>24</v>
      </c>
      <c r="E84" t="s">
        <v>3</v>
      </c>
      <c r="F84" t="s">
        <v>36</v>
      </c>
      <c r="G84" t="s">
        <v>37</v>
      </c>
      <c r="H84" t="s">
        <v>38</v>
      </c>
      <c r="I84">
        <f>I83*J84</f>
        <v>-366.77045400000003</v>
      </c>
      <c r="J84">
        <v>-2.2399999975570553</v>
      </c>
      <c r="K84">
        <v>-1.1200000000000001</v>
      </c>
      <c r="O84">
        <f t="shared" si="71"/>
        <v>-20102.689999999999</v>
      </c>
      <c r="P84">
        <f t="shared" si="72"/>
        <v>-20102.689999999999</v>
      </c>
      <c r="Q84">
        <f t="shared" si="73"/>
        <v>0</v>
      </c>
      <c r="R84">
        <f t="shared" si="74"/>
        <v>0</v>
      </c>
      <c r="S84">
        <f t="shared" si="75"/>
        <v>0</v>
      </c>
      <c r="T84">
        <f t="shared" si="76"/>
        <v>0</v>
      </c>
      <c r="U84">
        <f t="shared" si="77"/>
        <v>0</v>
      </c>
      <c r="V84">
        <f t="shared" si="78"/>
        <v>0</v>
      </c>
      <c r="W84">
        <f t="shared" si="79"/>
        <v>0</v>
      </c>
      <c r="X84">
        <f t="shared" si="80"/>
        <v>0</v>
      </c>
      <c r="Y84">
        <f t="shared" si="80"/>
        <v>0</v>
      </c>
      <c r="AA84">
        <v>-1</v>
      </c>
      <c r="AB84">
        <f t="shared" si="81"/>
        <v>54.81</v>
      </c>
      <c r="AC84">
        <f>ROUND((ES84),6)</f>
        <v>54.81</v>
      </c>
      <c r="AD84">
        <f>ROUND((((ET84)-(EU84))+AE84),6)</f>
        <v>0</v>
      </c>
      <c r="AE84">
        <f>ROUND((EU84),6)</f>
        <v>0</v>
      </c>
      <c r="AF84">
        <f>ROUND((EV84),6)</f>
        <v>0</v>
      </c>
      <c r="AG84">
        <f t="shared" si="83"/>
        <v>0</v>
      </c>
      <c r="AH84">
        <f>(EW84)</f>
        <v>0</v>
      </c>
      <c r="AI84">
        <f>(EX84)</f>
        <v>0</v>
      </c>
      <c r="AJ84">
        <f t="shared" si="85"/>
        <v>0</v>
      </c>
      <c r="AK84">
        <v>54.81</v>
      </c>
      <c r="AL84">
        <v>54.81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70</v>
      </c>
      <c r="AU84">
        <v>10</v>
      </c>
      <c r="AV84">
        <v>1</v>
      </c>
      <c r="AW84">
        <v>1</v>
      </c>
      <c r="AZ84">
        <v>1</v>
      </c>
      <c r="BA84">
        <v>1</v>
      </c>
      <c r="BB84">
        <v>1</v>
      </c>
      <c r="BC84">
        <v>1</v>
      </c>
      <c r="BD84" t="s">
        <v>3</v>
      </c>
      <c r="BE84" t="s">
        <v>3</v>
      </c>
      <c r="BF84" t="s">
        <v>3</v>
      </c>
      <c r="BG84" t="s">
        <v>3</v>
      </c>
      <c r="BH84">
        <v>3</v>
      </c>
      <c r="BI84">
        <v>4</v>
      </c>
      <c r="BJ84" t="s">
        <v>39</v>
      </c>
      <c r="BM84">
        <v>0</v>
      </c>
      <c r="BN84">
        <v>0</v>
      </c>
      <c r="BO84" t="s">
        <v>3</v>
      </c>
      <c r="BP84">
        <v>0</v>
      </c>
      <c r="BQ84">
        <v>1</v>
      </c>
      <c r="BR84">
        <v>1</v>
      </c>
      <c r="BS84">
        <v>1</v>
      </c>
      <c r="BT84">
        <v>1</v>
      </c>
      <c r="BU84">
        <v>1</v>
      </c>
      <c r="BV84">
        <v>1</v>
      </c>
      <c r="BW84">
        <v>1</v>
      </c>
      <c r="BX84">
        <v>1</v>
      </c>
      <c r="BY84" t="s">
        <v>3</v>
      </c>
      <c r="BZ84">
        <v>70</v>
      </c>
      <c r="CA84">
        <v>10</v>
      </c>
      <c r="CB84" t="s">
        <v>3</v>
      </c>
      <c r="CE84">
        <v>0</v>
      </c>
      <c r="CF84">
        <v>0</v>
      </c>
      <c r="CG84">
        <v>0</v>
      </c>
      <c r="CM84">
        <v>0</v>
      </c>
      <c r="CN84" t="s">
        <v>3</v>
      </c>
      <c r="CO84">
        <v>0</v>
      </c>
      <c r="CP84">
        <f t="shared" si="86"/>
        <v>-20102.689999999999</v>
      </c>
      <c r="CQ84">
        <f t="shared" si="87"/>
        <v>54.81</v>
      </c>
      <c r="CR84">
        <f>((((ET84)*BB84-(EU84)*BS84)+AE84*BS84)*AV84)</f>
        <v>0</v>
      </c>
      <c r="CS84">
        <f t="shared" si="88"/>
        <v>0</v>
      </c>
      <c r="CT84">
        <f t="shared" si="89"/>
        <v>0</v>
      </c>
      <c r="CU84">
        <f t="shared" si="90"/>
        <v>0</v>
      </c>
      <c r="CV84">
        <f t="shared" si="91"/>
        <v>0</v>
      </c>
      <c r="CW84">
        <f t="shared" si="92"/>
        <v>0</v>
      </c>
      <c r="CX84">
        <f t="shared" si="92"/>
        <v>0</v>
      </c>
      <c r="CY84">
        <f t="shared" si="93"/>
        <v>0</v>
      </c>
      <c r="CZ84">
        <f t="shared" si="94"/>
        <v>0</v>
      </c>
      <c r="DC84" t="s">
        <v>3</v>
      </c>
      <c r="DD84" t="s">
        <v>3</v>
      </c>
      <c r="DE84" t="s">
        <v>3</v>
      </c>
      <c r="DF84" t="s">
        <v>3</v>
      </c>
      <c r="DG84" t="s">
        <v>3</v>
      </c>
      <c r="DH84" t="s">
        <v>3</v>
      </c>
      <c r="DI84" t="s">
        <v>3</v>
      </c>
      <c r="DJ84" t="s">
        <v>3</v>
      </c>
      <c r="DK84" t="s">
        <v>3</v>
      </c>
      <c r="DL84" t="s">
        <v>3</v>
      </c>
      <c r="DM84" t="s">
        <v>3</v>
      </c>
      <c r="DN84">
        <v>0</v>
      </c>
      <c r="DO84">
        <v>0</v>
      </c>
      <c r="DP84">
        <v>1</v>
      </c>
      <c r="DQ84">
        <v>1</v>
      </c>
      <c r="DU84">
        <v>1007</v>
      </c>
      <c r="DV84" t="s">
        <v>38</v>
      </c>
      <c r="DW84" t="s">
        <v>38</v>
      </c>
      <c r="DX84">
        <v>1</v>
      </c>
      <c r="DZ84" t="s">
        <v>3</v>
      </c>
      <c r="EA84" t="s">
        <v>3</v>
      </c>
      <c r="EB84" t="s">
        <v>3</v>
      </c>
      <c r="EC84" t="s">
        <v>3</v>
      </c>
      <c r="EE84">
        <v>80196140</v>
      </c>
      <c r="EF84">
        <v>1</v>
      </c>
      <c r="EG84" t="s">
        <v>23</v>
      </c>
      <c r="EH84">
        <v>0</v>
      </c>
      <c r="EI84" t="s">
        <v>3</v>
      </c>
      <c r="EJ84">
        <v>4</v>
      </c>
      <c r="EK84">
        <v>0</v>
      </c>
      <c r="EL84" t="s">
        <v>24</v>
      </c>
      <c r="EM84" t="s">
        <v>25</v>
      </c>
      <c r="EO84" t="s">
        <v>3</v>
      </c>
      <c r="EQ84">
        <v>1024</v>
      </c>
      <c r="ER84">
        <v>54.81</v>
      </c>
      <c r="ES84">
        <v>54.81</v>
      </c>
      <c r="ET84">
        <v>0</v>
      </c>
      <c r="EU84">
        <v>0</v>
      </c>
      <c r="EV84">
        <v>0</v>
      </c>
      <c r="EW84">
        <v>0</v>
      </c>
      <c r="EX84">
        <v>0</v>
      </c>
      <c r="FQ84">
        <v>0</v>
      </c>
      <c r="FR84">
        <v>0</v>
      </c>
      <c r="FS84">
        <v>0</v>
      </c>
      <c r="FX84">
        <v>70</v>
      </c>
      <c r="FY84">
        <v>10</v>
      </c>
      <c r="GA84" t="s">
        <v>3</v>
      </c>
      <c r="GD84">
        <v>0</v>
      </c>
      <c r="GF84">
        <v>2112060389</v>
      </c>
      <c r="GG84">
        <v>2</v>
      </c>
      <c r="GH84">
        <v>1</v>
      </c>
      <c r="GI84">
        <v>-2</v>
      </c>
      <c r="GJ84">
        <v>0</v>
      </c>
      <c r="GK84">
        <f>ROUND(R84*(R12)/100,2)</f>
        <v>0</v>
      </c>
      <c r="GL84">
        <f t="shared" si="95"/>
        <v>0</v>
      </c>
      <c r="GM84">
        <f t="shared" si="96"/>
        <v>-20102.689999999999</v>
      </c>
      <c r="GN84">
        <f t="shared" si="97"/>
        <v>0</v>
      </c>
      <c r="GO84">
        <f t="shared" si="98"/>
        <v>0</v>
      </c>
      <c r="GP84">
        <f t="shared" si="99"/>
        <v>-20102.689999999999</v>
      </c>
      <c r="GR84">
        <v>0</v>
      </c>
      <c r="GS84">
        <v>3</v>
      </c>
      <c r="GT84">
        <v>0</v>
      </c>
      <c r="GU84" t="s">
        <v>3</v>
      </c>
      <c r="GV84">
        <f t="shared" si="100"/>
        <v>0</v>
      </c>
      <c r="GW84">
        <v>1</v>
      </c>
      <c r="GX84">
        <f t="shared" si="101"/>
        <v>0</v>
      </c>
      <c r="HA84">
        <v>0</v>
      </c>
      <c r="HB84">
        <v>0</v>
      </c>
      <c r="HC84">
        <f t="shared" si="102"/>
        <v>0</v>
      </c>
      <c r="HE84" t="s">
        <v>3</v>
      </c>
      <c r="HF84" t="s">
        <v>3</v>
      </c>
      <c r="HM84" t="s">
        <v>136</v>
      </c>
      <c r="HN84" t="s">
        <v>3</v>
      </c>
      <c r="HO84" t="s">
        <v>3</v>
      </c>
      <c r="HP84" t="s">
        <v>3</v>
      </c>
      <c r="HQ84" t="s">
        <v>3</v>
      </c>
      <c r="HS84">
        <v>0</v>
      </c>
      <c r="IK84">
        <v>0</v>
      </c>
    </row>
    <row r="86" spans="1:245" ht="13" x14ac:dyDescent="0.3">
      <c r="A86" s="2">
        <v>51</v>
      </c>
      <c r="B86" s="2">
        <f>B74</f>
        <v>1</v>
      </c>
      <c r="C86" s="2">
        <f>A74</f>
        <v>5</v>
      </c>
      <c r="D86" s="2">
        <f>ROW(A74)</f>
        <v>74</v>
      </c>
      <c r="E86" s="2"/>
      <c r="F86" s="2" t="str">
        <f>IF(F74&lt;&gt;"",F74,"")</f>
        <v>Новый подраздел</v>
      </c>
      <c r="G86" s="2" t="str">
        <f>IF(G74&lt;&gt;"",G74,"")</f>
        <v xml:space="preserve">Подраздел: ЛЕТНЯЯ УБОРКА </v>
      </c>
      <c r="H86" s="2">
        <v>0</v>
      </c>
      <c r="I86" s="2"/>
      <c r="J86" s="2"/>
      <c r="K86" s="2"/>
      <c r="L86" s="2"/>
      <c r="M86" s="2"/>
      <c r="N86" s="2"/>
      <c r="O86" s="2">
        <f t="shared" ref="O86:T86" si="103">ROUND(AB86,2)</f>
        <v>7191182.9699999997</v>
      </c>
      <c r="P86" s="2">
        <f t="shared" si="103"/>
        <v>94744.51</v>
      </c>
      <c r="Q86" s="2">
        <f t="shared" si="103"/>
        <v>5725293.4000000004</v>
      </c>
      <c r="R86" s="2">
        <f t="shared" si="103"/>
        <v>2706120.86</v>
      </c>
      <c r="S86" s="2">
        <f t="shared" si="103"/>
        <v>1371145.06</v>
      </c>
      <c r="T86" s="2">
        <f t="shared" si="103"/>
        <v>0</v>
      </c>
      <c r="U86" s="2">
        <f>AH86</f>
        <v>3025.8560640000001</v>
      </c>
      <c r="V86" s="2">
        <f>AI86</f>
        <v>0</v>
      </c>
      <c r="W86" s="2">
        <f>ROUND(AJ86,2)</f>
        <v>0</v>
      </c>
      <c r="X86" s="2">
        <f>ROUND(AK86,2)</f>
        <v>959801.54</v>
      </c>
      <c r="Y86" s="2">
        <f>ROUND(AL86,2)</f>
        <v>137114.51</v>
      </c>
      <c r="Z86" s="2"/>
      <c r="AA86" s="2"/>
      <c r="AB86" s="2">
        <f>ROUND(SUMIF(AA78:AA84,"=80889179",O78:O84),2)</f>
        <v>7191182.9699999997</v>
      </c>
      <c r="AC86" s="2">
        <f>ROUND(SUMIF(AA78:AA84,"=80889179",P78:P84),2)</f>
        <v>94744.51</v>
      </c>
      <c r="AD86" s="2">
        <f>ROUND(SUMIF(AA78:AA84,"=80889179",Q78:Q84),2)</f>
        <v>5725293.4000000004</v>
      </c>
      <c r="AE86" s="2">
        <f>ROUND(SUMIF(AA78:AA84,"=80889179",R78:R84),2)</f>
        <v>2706120.86</v>
      </c>
      <c r="AF86" s="2">
        <f>ROUND(SUMIF(AA78:AA84,"=80889179",S78:S84),2)</f>
        <v>1371145.06</v>
      </c>
      <c r="AG86" s="2">
        <f>ROUND(SUMIF(AA78:AA84,"=80889179",T78:T84),2)</f>
        <v>0</v>
      </c>
      <c r="AH86" s="2">
        <f>SUMIF(AA78:AA84,"=80889179",U78:U84)</f>
        <v>3025.8560640000001</v>
      </c>
      <c r="AI86" s="2">
        <f>SUMIF(AA78:AA84,"=80889179",V78:V84)</f>
        <v>0</v>
      </c>
      <c r="AJ86" s="2">
        <f>ROUND(SUMIF(AA78:AA84,"=80889179",W78:W84),2)</f>
        <v>0</v>
      </c>
      <c r="AK86" s="2">
        <f>ROUND(SUMIF(AA78:AA84,"=80889179",X78:X84),2)</f>
        <v>959801.54</v>
      </c>
      <c r="AL86" s="2">
        <f>ROUND(SUMIF(AA78:AA84,"=80889179",Y78:Y84),2)</f>
        <v>137114.51</v>
      </c>
      <c r="AM86" s="2"/>
      <c r="AN86" s="2"/>
      <c r="AO86" s="2">
        <f t="shared" ref="AO86:BD86" si="104">ROUND(BX86,2)</f>
        <v>0</v>
      </c>
      <c r="AP86" s="2">
        <f t="shared" si="104"/>
        <v>0</v>
      </c>
      <c r="AQ86" s="2">
        <f t="shared" si="104"/>
        <v>0</v>
      </c>
      <c r="AR86" s="2">
        <f t="shared" si="104"/>
        <v>11210709.539999999</v>
      </c>
      <c r="AS86" s="2">
        <f t="shared" si="104"/>
        <v>0</v>
      </c>
      <c r="AT86" s="2">
        <f t="shared" si="104"/>
        <v>0</v>
      </c>
      <c r="AU86" s="2">
        <f t="shared" si="104"/>
        <v>11210709.539999999</v>
      </c>
      <c r="AV86" s="2">
        <f t="shared" si="104"/>
        <v>94744.51</v>
      </c>
      <c r="AW86" s="2">
        <f t="shared" si="104"/>
        <v>94744.51</v>
      </c>
      <c r="AX86" s="2">
        <f t="shared" si="104"/>
        <v>0</v>
      </c>
      <c r="AY86" s="2">
        <f t="shared" si="104"/>
        <v>94744.51</v>
      </c>
      <c r="AZ86" s="2">
        <f t="shared" si="104"/>
        <v>0</v>
      </c>
      <c r="BA86" s="2">
        <f t="shared" si="104"/>
        <v>0</v>
      </c>
      <c r="BB86" s="2">
        <f t="shared" si="104"/>
        <v>0</v>
      </c>
      <c r="BC86" s="2">
        <f t="shared" si="104"/>
        <v>0</v>
      </c>
      <c r="BD86" s="2">
        <f t="shared" si="104"/>
        <v>0</v>
      </c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>
        <f>ROUND(SUMIF(AA78:AA84,"=80889179",FQ78:FQ84),2)</f>
        <v>0</v>
      </c>
      <c r="BY86" s="2">
        <f>ROUND(SUMIF(AA78:AA84,"=80889179",FR78:FR84),2)</f>
        <v>0</v>
      </c>
      <c r="BZ86" s="2">
        <f>ROUND(SUMIF(AA78:AA84,"=80889179",GL78:GL84),2)</f>
        <v>0</v>
      </c>
      <c r="CA86" s="2">
        <f>ROUND(SUMIF(AA78:AA84,"=80889179",GM78:GM84),2)</f>
        <v>11210709.539999999</v>
      </c>
      <c r="CB86" s="2">
        <f>ROUND(SUMIF(AA78:AA84,"=80889179",GN78:GN84),2)</f>
        <v>0</v>
      </c>
      <c r="CC86" s="2">
        <f>ROUND(SUMIF(AA78:AA84,"=80889179",GO78:GO84),2)</f>
        <v>0</v>
      </c>
      <c r="CD86" s="2">
        <f>ROUND(SUMIF(AA78:AA84,"=80889179",GP78:GP84),2)</f>
        <v>11210709.539999999</v>
      </c>
      <c r="CE86" s="2">
        <f>AC86-BX86</f>
        <v>94744.51</v>
      </c>
      <c r="CF86" s="2">
        <f>AC86-BY86</f>
        <v>94744.51</v>
      </c>
      <c r="CG86" s="2">
        <f>BX86-BZ86</f>
        <v>0</v>
      </c>
      <c r="CH86" s="2">
        <f>AC86-BX86-BY86+BZ86</f>
        <v>94744.51</v>
      </c>
      <c r="CI86" s="2">
        <f>BY86-BZ86</f>
        <v>0</v>
      </c>
      <c r="CJ86" s="2">
        <f>ROUND(SUMIF(AA78:AA84,"=80889179",GX78:GX84),2)</f>
        <v>0</v>
      </c>
      <c r="CK86" s="2">
        <f>ROUND(SUMIF(AA78:AA84,"=80889179",GY78:GY84),2)</f>
        <v>0</v>
      </c>
      <c r="CL86" s="2">
        <f>ROUND(SUMIF(AA78:AA84,"=80889179",GZ78:GZ84),2)</f>
        <v>0</v>
      </c>
      <c r="CM86" s="2">
        <f>ROUND(SUMIF(AA78:AA84,"=80889179",HD78:HD84),2)</f>
        <v>0</v>
      </c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>
        <v>0</v>
      </c>
    </row>
    <row r="88" spans="1:245" ht="13" x14ac:dyDescent="0.3">
      <c r="A88" s="4">
        <v>50</v>
      </c>
      <c r="B88" s="4">
        <v>0</v>
      </c>
      <c r="C88" s="4">
        <v>0</v>
      </c>
      <c r="D88" s="4">
        <v>1</v>
      </c>
      <c r="E88" s="4">
        <v>201</v>
      </c>
      <c r="F88" s="4">
        <f>ROUND(Source!O86,O88)</f>
        <v>7191182.9699999997</v>
      </c>
      <c r="G88" s="4" t="s">
        <v>70</v>
      </c>
      <c r="H88" s="4" t="s">
        <v>71</v>
      </c>
      <c r="I88" s="4"/>
      <c r="J88" s="4"/>
      <c r="K88" s="4">
        <v>201</v>
      </c>
      <c r="L88" s="4">
        <v>1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7191182.9699999997</v>
      </c>
      <c r="X88" s="4">
        <v>1</v>
      </c>
      <c r="Y88" s="4">
        <v>7191182.9699999997</v>
      </c>
      <c r="Z88" s="4"/>
      <c r="AA88" s="4"/>
      <c r="AB88" s="4"/>
    </row>
    <row r="89" spans="1:245" ht="13" x14ac:dyDescent="0.3">
      <c r="A89" s="4">
        <v>50</v>
      </c>
      <c r="B89" s="4">
        <v>0</v>
      </c>
      <c r="C89" s="4">
        <v>0</v>
      </c>
      <c r="D89" s="4">
        <v>1</v>
      </c>
      <c r="E89" s="4">
        <v>202</v>
      </c>
      <c r="F89" s="4">
        <f>ROUND(Source!P86,O89)</f>
        <v>94744.51</v>
      </c>
      <c r="G89" s="4" t="s">
        <v>72</v>
      </c>
      <c r="H89" s="4" t="s">
        <v>73</v>
      </c>
      <c r="I89" s="4"/>
      <c r="J89" s="4"/>
      <c r="K89" s="4">
        <v>202</v>
      </c>
      <c r="L89" s="4">
        <v>2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94744.51</v>
      </c>
      <c r="X89" s="4">
        <v>1</v>
      </c>
      <c r="Y89" s="4">
        <v>94744.51</v>
      </c>
      <c r="Z89" s="4"/>
      <c r="AA89" s="4"/>
      <c r="AB89" s="4"/>
    </row>
    <row r="90" spans="1:245" ht="13" x14ac:dyDescent="0.3">
      <c r="A90" s="4">
        <v>50</v>
      </c>
      <c r="B90" s="4">
        <v>0</v>
      </c>
      <c r="C90" s="4">
        <v>0</v>
      </c>
      <c r="D90" s="4">
        <v>1</v>
      </c>
      <c r="E90" s="4">
        <v>222</v>
      </c>
      <c r="F90" s="4">
        <f>ROUND(Source!AO86,O90)</f>
        <v>0</v>
      </c>
      <c r="G90" s="4" t="s">
        <v>74</v>
      </c>
      <c r="H90" s="4" t="s">
        <v>75</v>
      </c>
      <c r="I90" s="4"/>
      <c r="J90" s="4"/>
      <c r="K90" s="4">
        <v>222</v>
      </c>
      <c r="L90" s="4">
        <v>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45" ht="13" x14ac:dyDescent="0.3">
      <c r="A91" s="4">
        <v>50</v>
      </c>
      <c r="B91" s="4">
        <v>0</v>
      </c>
      <c r="C91" s="4">
        <v>0</v>
      </c>
      <c r="D91" s="4">
        <v>1</v>
      </c>
      <c r="E91" s="4">
        <v>225</v>
      </c>
      <c r="F91" s="4">
        <f>ROUND(Source!AV86,O91)</f>
        <v>94744.51</v>
      </c>
      <c r="G91" s="4" t="s">
        <v>76</v>
      </c>
      <c r="H91" s="4" t="s">
        <v>77</v>
      </c>
      <c r="I91" s="4"/>
      <c r="J91" s="4"/>
      <c r="K91" s="4">
        <v>225</v>
      </c>
      <c r="L91" s="4">
        <v>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94744.51</v>
      </c>
      <c r="X91" s="4">
        <v>1</v>
      </c>
      <c r="Y91" s="4">
        <v>94744.51</v>
      </c>
      <c r="Z91" s="4"/>
      <c r="AA91" s="4"/>
      <c r="AB91" s="4"/>
    </row>
    <row r="92" spans="1:245" ht="13" x14ac:dyDescent="0.3">
      <c r="A92" s="4">
        <v>50</v>
      </c>
      <c r="B92" s="4">
        <v>0</v>
      </c>
      <c r="C92" s="4">
        <v>0</v>
      </c>
      <c r="D92" s="4">
        <v>1</v>
      </c>
      <c r="E92" s="4">
        <v>226</v>
      </c>
      <c r="F92" s="4">
        <f>ROUND(Source!AW86,O92)</f>
        <v>94744.51</v>
      </c>
      <c r="G92" s="4" t="s">
        <v>78</v>
      </c>
      <c r="H92" s="4" t="s">
        <v>79</v>
      </c>
      <c r="I92" s="4"/>
      <c r="J92" s="4"/>
      <c r="K92" s="4">
        <v>226</v>
      </c>
      <c r="L92" s="4">
        <v>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94744.51</v>
      </c>
      <c r="X92" s="4">
        <v>1</v>
      </c>
      <c r="Y92" s="4">
        <v>94744.51</v>
      </c>
      <c r="Z92" s="4"/>
      <c r="AA92" s="4"/>
      <c r="AB92" s="4"/>
    </row>
    <row r="93" spans="1:245" ht="13" x14ac:dyDescent="0.3">
      <c r="A93" s="4">
        <v>50</v>
      </c>
      <c r="B93" s="4">
        <v>0</v>
      </c>
      <c r="C93" s="4">
        <v>0</v>
      </c>
      <c r="D93" s="4">
        <v>1</v>
      </c>
      <c r="E93" s="4">
        <v>227</v>
      </c>
      <c r="F93" s="4">
        <f>ROUND(Source!AX86,O93)</f>
        <v>0</v>
      </c>
      <c r="G93" s="4" t="s">
        <v>80</v>
      </c>
      <c r="H93" s="4" t="s">
        <v>81</v>
      </c>
      <c r="I93" s="4"/>
      <c r="J93" s="4"/>
      <c r="K93" s="4">
        <v>227</v>
      </c>
      <c r="L93" s="4">
        <v>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45" ht="13" x14ac:dyDescent="0.3">
      <c r="A94" s="4">
        <v>50</v>
      </c>
      <c r="B94" s="4">
        <v>0</v>
      </c>
      <c r="C94" s="4">
        <v>0</v>
      </c>
      <c r="D94" s="4">
        <v>1</v>
      </c>
      <c r="E94" s="4">
        <v>228</v>
      </c>
      <c r="F94" s="4">
        <f>ROUND(Source!AY86,O94)</f>
        <v>94744.51</v>
      </c>
      <c r="G94" s="4" t="s">
        <v>82</v>
      </c>
      <c r="H94" s="4" t="s">
        <v>83</v>
      </c>
      <c r="I94" s="4"/>
      <c r="J94" s="4"/>
      <c r="K94" s="4">
        <v>228</v>
      </c>
      <c r="L94" s="4">
        <v>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94744.51</v>
      </c>
      <c r="X94" s="4">
        <v>1</v>
      </c>
      <c r="Y94" s="4">
        <v>94744.51</v>
      </c>
      <c r="Z94" s="4"/>
      <c r="AA94" s="4"/>
      <c r="AB94" s="4"/>
    </row>
    <row r="95" spans="1:245" ht="13" x14ac:dyDescent="0.3">
      <c r="A95" s="4">
        <v>50</v>
      </c>
      <c r="B95" s="4">
        <v>0</v>
      </c>
      <c r="C95" s="4">
        <v>0</v>
      </c>
      <c r="D95" s="4">
        <v>1</v>
      </c>
      <c r="E95" s="4">
        <v>216</v>
      </c>
      <c r="F95" s="4">
        <f>ROUND(Source!AP86,O95)</f>
        <v>0</v>
      </c>
      <c r="G95" s="4" t="s">
        <v>84</v>
      </c>
      <c r="H95" s="4" t="s">
        <v>85</v>
      </c>
      <c r="I95" s="4"/>
      <c r="J95" s="4"/>
      <c r="K95" s="4">
        <v>216</v>
      </c>
      <c r="L95" s="4">
        <v>8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45" ht="13" x14ac:dyDescent="0.3">
      <c r="A96" s="4">
        <v>50</v>
      </c>
      <c r="B96" s="4">
        <v>0</v>
      </c>
      <c r="C96" s="4">
        <v>0</v>
      </c>
      <c r="D96" s="4">
        <v>1</v>
      </c>
      <c r="E96" s="4">
        <v>223</v>
      </c>
      <c r="F96" s="4">
        <f>ROUND(Source!AQ86,O96)</f>
        <v>0</v>
      </c>
      <c r="G96" s="4" t="s">
        <v>86</v>
      </c>
      <c r="H96" s="4" t="s">
        <v>87</v>
      </c>
      <c r="I96" s="4"/>
      <c r="J96" s="4"/>
      <c r="K96" s="4">
        <v>223</v>
      </c>
      <c r="L96" s="4">
        <v>9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ht="13" x14ac:dyDescent="0.3">
      <c r="A97" s="4">
        <v>50</v>
      </c>
      <c r="B97" s="4">
        <v>0</v>
      </c>
      <c r="C97" s="4">
        <v>0</v>
      </c>
      <c r="D97" s="4">
        <v>1</v>
      </c>
      <c r="E97" s="4">
        <v>229</v>
      </c>
      <c r="F97" s="4">
        <f>ROUND(Source!AZ86,O97)</f>
        <v>0</v>
      </c>
      <c r="G97" s="4" t="s">
        <v>88</v>
      </c>
      <c r="H97" s="4" t="s">
        <v>89</v>
      </c>
      <c r="I97" s="4"/>
      <c r="J97" s="4"/>
      <c r="K97" s="4">
        <v>229</v>
      </c>
      <c r="L97" s="4">
        <v>10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ht="13" x14ac:dyDescent="0.3">
      <c r="A98" s="4">
        <v>50</v>
      </c>
      <c r="B98" s="4">
        <v>0</v>
      </c>
      <c r="C98" s="4">
        <v>0</v>
      </c>
      <c r="D98" s="4">
        <v>1</v>
      </c>
      <c r="E98" s="4">
        <v>203</v>
      </c>
      <c r="F98" s="4">
        <f>ROUND(Source!Q86,O98)</f>
        <v>5725293.4000000004</v>
      </c>
      <c r="G98" s="4" t="s">
        <v>90</v>
      </c>
      <c r="H98" s="4" t="s">
        <v>91</v>
      </c>
      <c r="I98" s="4"/>
      <c r="J98" s="4"/>
      <c r="K98" s="4">
        <v>203</v>
      </c>
      <c r="L98" s="4">
        <v>11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5725293.4000000004</v>
      </c>
      <c r="X98" s="4">
        <v>1</v>
      </c>
      <c r="Y98" s="4">
        <v>5725293.4000000004</v>
      </c>
      <c r="Z98" s="4"/>
      <c r="AA98" s="4"/>
      <c r="AB98" s="4"/>
    </row>
    <row r="99" spans="1:28" ht="13" x14ac:dyDescent="0.3">
      <c r="A99" s="4">
        <v>50</v>
      </c>
      <c r="B99" s="4">
        <v>0</v>
      </c>
      <c r="C99" s="4">
        <v>0</v>
      </c>
      <c r="D99" s="4">
        <v>1</v>
      </c>
      <c r="E99" s="4">
        <v>231</v>
      </c>
      <c r="F99" s="4">
        <f>ROUND(Source!BB86,O99)</f>
        <v>0</v>
      </c>
      <c r="G99" s="4" t="s">
        <v>92</v>
      </c>
      <c r="H99" s="4" t="s">
        <v>93</v>
      </c>
      <c r="I99" s="4"/>
      <c r="J99" s="4"/>
      <c r="K99" s="4">
        <v>231</v>
      </c>
      <c r="L99" s="4">
        <v>12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ht="13" x14ac:dyDescent="0.3">
      <c r="A100" s="4">
        <v>50</v>
      </c>
      <c r="B100" s="4">
        <v>0</v>
      </c>
      <c r="C100" s="4">
        <v>0</v>
      </c>
      <c r="D100" s="4">
        <v>1</v>
      </c>
      <c r="E100" s="4">
        <v>204</v>
      </c>
      <c r="F100" s="4">
        <f>ROUND(Source!R86,O100)</f>
        <v>2706120.86</v>
      </c>
      <c r="G100" s="4" t="s">
        <v>94</v>
      </c>
      <c r="H100" s="4" t="s">
        <v>95</v>
      </c>
      <c r="I100" s="4"/>
      <c r="J100" s="4"/>
      <c r="K100" s="4">
        <v>204</v>
      </c>
      <c r="L100" s="4">
        <v>13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2706120.86</v>
      </c>
      <c r="X100" s="4">
        <v>1</v>
      </c>
      <c r="Y100" s="4">
        <v>2706120.86</v>
      </c>
      <c r="Z100" s="4"/>
      <c r="AA100" s="4"/>
      <c r="AB100" s="4"/>
    </row>
    <row r="101" spans="1:28" ht="13" x14ac:dyDescent="0.3">
      <c r="A101" s="4">
        <v>50</v>
      </c>
      <c r="B101" s="4">
        <v>0</v>
      </c>
      <c r="C101" s="4">
        <v>0</v>
      </c>
      <c r="D101" s="4">
        <v>1</v>
      </c>
      <c r="E101" s="4">
        <v>205</v>
      </c>
      <c r="F101" s="4">
        <f>ROUND(Source!S86,O101)</f>
        <v>1371145.06</v>
      </c>
      <c r="G101" s="4" t="s">
        <v>96</v>
      </c>
      <c r="H101" s="4" t="s">
        <v>97</v>
      </c>
      <c r="I101" s="4"/>
      <c r="J101" s="4"/>
      <c r="K101" s="4">
        <v>205</v>
      </c>
      <c r="L101" s="4">
        <v>14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1371145.06</v>
      </c>
      <c r="X101" s="4">
        <v>1</v>
      </c>
      <c r="Y101" s="4">
        <v>1371145.06</v>
      </c>
      <c r="Z101" s="4"/>
      <c r="AA101" s="4"/>
      <c r="AB101" s="4"/>
    </row>
    <row r="102" spans="1:28" ht="13" x14ac:dyDescent="0.3">
      <c r="A102" s="4">
        <v>50</v>
      </c>
      <c r="B102" s="4">
        <v>0</v>
      </c>
      <c r="C102" s="4">
        <v>0</v>
      </c>
      <c r="D102" s="4">
        <v>1</v>
      </c>
      <c r="E102" s="4">
        <v>232</v>
      </c>
      <c r="F102" s="4">
        <f>ROUND(Source!BC86,O102)</f>
        <v>0</v>
      </c>
      <c r="G102" s="4" t="s">
        <v>98</v>
      </c>
      <c r="H102" s="4" t="s">
        <v>99</v>
      </c>
      <c r="I102" s="4"/>
      <c r="J102" s="4"/>
      <c r="K102" s="4">
        <v>232</v>
      </c>
      <c r="L102" s="4">
        <v>15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ht="13" x14ac:dyDescent="0.3">
      <c r="A103" s="4">
        <v>50</v>
      </c>
      <c r="B103" s="4">
        <v>0</v>
      </c>
      <c r="C103" s="4">
        <v>0</v>
      </c>
      <c r="D103" s="4">
        <v>1</v>
      </c>
      <c r="E103" s="4">
        <v>214</v>
      </c>
      <c r="F103" s="4">
        <f>ROUND(Source!AS86,O103)</f>
        <v>0</v>
      </c>
      <c r="G103" s="4" t="s">
        <v>100</v>
      </c>
      <c r="H103" s="4" t="s">
        <v>101</v>
      </c>
      <c r="I103" s="4"/>
      <c r="J103" s="4"/>
      <c r="K103" s="4">
        <v>214</v>
      </c>
      <c r="L103" s="4">
        <v>16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ht="13" x14ac:dyDescent="0.3">
      <c r="A104" s="4">
        <v>50</v>
      </c>
      <c r="B104" s="4">
        <v>0</v>
      </c>
      <c r="C104" s="4">
        <v>0</v>
      </c>
      <c r="D104" s="4">
        <v>1</v>
      </c>
      <c r="E104" s="4">
        <v>215</v>
      </c>
      <c r="F104" s="4">
        <f>ROUND(Source!AT86,O104)</f>
        <v>0</v>
      </c>
      <c r="G104" s="4" t="s">
        <v>102</v>
      </c>
      <c r="H104" s="4" t="s">
        <v>103</v>
      </c>
      <c r="I104" s="4"/>
      <c r="J104" s="4"/>
      <c r="K104" s="4">
        <v>215</v>
      </c>
      <c r="L104" s="4">
        <v>17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ht="13" x14ac:dyDescent="0.3">
      <c r="A105" s="4">
        <v>50</v>
      </c>
      <c r="B105" s="4">
        <v>0</v>
      </c>
      <c r="C105" s="4">
        <v>0</v>
      </c>
      <c r="D105" s="4">
        <v>1</v>
      </c>
      <c r="E105" s="4">
        <v>217</v>
      </c>
      <c r="F105" s="4">
        <f>ROUND(Source!AU86,O105)</f>
        <v>11210709.539999999</v>
      </c>
      <c r="G105" s="4" t="s">
        <v>104</v>
      </c>
      <c r="H105" s="4" t="s">
        <v>105</v>
      </c>
      <c r="I105" s="4"/>
      <c r="J105" s="4"/>
      <c r="K105" s="4">
        <v>217</v>
      </c>
      <c r="L105" s="4">
        <v>18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11210709.539999999</v>
      </c>
      <c r="X105" s="4">
        <v>1</v>
      </c>
      <c r="Y105" s="4">
        <v>11210709.539999999</v>
      </c>
      <c r="Z105" s="4"/>
      <c r="AA105" s="4"/>
      <c r="AB105" s="4"/>
    </row>
    <row r="106" spans="1:28" ht="13" x14ac:dyDescent="0.3">
      <c r="A106" s="4">
        <v>50</v>
      </c>
      <c r="B106" s="4">
        <v>0</v>
      </c>
      <c r="C106" s="4">
        <v>0</v>
      </c>
      <c r="D106" s="4">
        <v>1</v>
      </c>
      <c r="E106" s="4">
        <v>230</v>
      </c>
      <c r="F106" s="4">
        <f>ROUND(Source!BA86,O106)</f>
        <v>0</v>
      </c>
      <c r="G106" s="4" t="s">
        <v>106</v>
      </c>
      <c r="H106" s="4" t="s">
        <v>107</v>
      </c>
      <c r="I106" s="4"/>
      <c r="J106" s="4"/>
      <c r="K106" s="4">
        <v>230</v>
      </c>
      <c r="L106" s="4">
        <v>19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ht="13" x14ac:dyDescent="0.3">
      <c r="A107" s="4">
        <v>50</v>
      </c>
      <c r="B107" s="4">
        <v>0</v>
      </c>
      <c r="C107" s="4">
        <v>0</v>
      </c>
      <c r="D107" s="4">
        <v>1</v>
      </c>
      <c r="E107" s="4">
        <v>206</v>
      </c>
      <c r="F107" s="4">
        <f>ROUND(Source!T86,O107)</f>
        <v>0</v>
      </c>
      <c r="G107" s="4" t="s">
        <v>108</v>
      </c>
      <c r="H107" s="4" t="s">
        <v>109</v>
      </c>
      <c r="I107" s="4"/>
      <c r="J107" s="4"/>
      <c r="K107" s="4">
        <v>206</v>
      </c>
      <c r="L107" s="4">
        <v>20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ht="13" x14ac:dyDescent="0.3">
      <c r="A108" s="4">
        <v>50</v>
      </c>
      <c r="B108" s="4">
        <v>0</v>
      </c>
      <c r="C108" s="4">
        <v>0</v>
      </c>
      <c r="D108" s="4">
        <v>1</v>
      </c>
      <c r="E108" s="4">
        <v>207</v>
      </c>
      <c r="F108" s="4">
        <f>Source!U86</f>
        <v>3025.8560640000001</v>
      </c>
      <c r="G108" s="4" t="s">
        <v>110</v>
      </c>
      <c r="H108" s="4" t="s">
        <v>111</v>
      </c>
      <c r="I108" s="4"/>
      <c r="J108" s="4"/>
      <c r="K108" s="4">
        <v>207</v>
      </c>
      <c r="L108" s="4">
        <v>21</v>
      </c>
      <c r="M108" s="4">
        <v>3</v>
      </c>
      <c r="N108" s="4" t="s">
        <v>3</v>
      </c>
      <c r="O108" s="4">
        <v>-1</v>
      </c>
      <c r="P108" s="4"/>
      <c r="Q108" s="4"/>
      <c r="R108" s="4"/>
      <c r="S108" s="4"/>
      <c r="T108" s="4"/>
      <c r="U108" s="4"/>
      <c r="V108" s="4"/>
      <c r="W108" s="4">
        <v>3025.8560640000001</v>
      </c>
      <c r="X108" s="4">
        <v>1</v>
      </c>
      <c r="Y108" s="4">
        <v>3025.8560640000001</v>
      </c>
      <c r="Z108" s="4"/>
      <c r="AA108" s="4"/>
      <c r="AB108" s="4"/>
    </row>
    <row r="109" spans="1:28" ht="13" x14ac:dyDescent="0.3">
      <c r="A109" s="4">
        <v>50</v>
      </c>
      <c r="B109" s="4">
        <v>0</v>
      </c>
      <c r="C109" s="4">
        <v>0</v>
      </c>
      <c r="D109" s="4">
        <v>1</v>
      </c>
      <c r="E109" s="4">
        <v>208</v>
      </c>
      <c r="F109" s="4">
        <f>Source!V86</f>
        <v>0</v>
      </c>
      <c r="G109" s="4" t="s">
        <v>112</v>
      </c>
      <c r="H109" s="4" t="s">
        <v>113</v>
      </c>
      <c r="I109" s="4"/>
      <c r="J109" s="4"/>
      <c r="K109" s="4">
        <v>208</v>
      </c>
      <c r="L109" s="4">
        <v>22</v>
      </c>
      <c r="M109" s="4">
        <v>3</v>
      </c>
      <c r="N109" s="4" t="s">
        <v>3</v>
      </c>
      <c r="O109" s="4">
        <v>-1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ht="13" x14ac:dyDescent="0.3">
      <c r="A110" s="4">
        <v>50</v>
      </c>
      <c r="B110" s="4">
        <v>0</v>
      </c>
      <c r="C110" s="4">
        <v>0</v>
      </c>
      <c r="D110" s="4">
        <v>1</v>
      </c>
      <c r="E110" s="4">
        <v>209</v>
      </c>
      <c r="F110" s="4">
        <f>ROUND(Source!W86,O110)</f>
        <v>0</v>
      </c>
      <c r="G110" s="4" t="s">
        <v>114</v>
      </c>
      <c r="H110" s="4" t="s">
        <v>115</v>
      </c>
      <c r="I110" s="4"/>
      <c r="J110" s="4"/>
      <c r="K110" s="4">
        <v>209</v>
      </c>
      <c r="L110" s="4">
        <v>23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ht="13" x14ac:dyDescent="0.3">
      <c r="A111" s="4">
        <v>50</v>
      </c>
      <c r="B111" s="4">
        <v>0</v>
      </c>
      <c r="C111" s="4">
        <v>0</v>
      </c>
      <c r="D111" s="4">
        <v>1</v>
      </c>
      <c r="E111" s="4">
        <v>233</v>
      </c>
      <c r="F111" s="4">
        <f>ROUND(Source!BD86,O111)</f>
        <v>0</v>
      </c>
      <c r="G111" s="4" t="s">
        <v>116</v>
      </c>
      <c r="H111" s="4" t="s">
        <v>117</v>
      </c>
      <c r="I111" s="4"/>
      <c r="J111" s="4"/>
      <c r="K111" s="4">
        <v>233</v>
      </c>
      <c r="L111" s="4">
        <v>24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ht="13" x14ac:dyDescent="0.3">
      <c r="A112" s="4">
        <v>50</v>
      </c>
      <c r="B112" s="4">
        <v>0</v>
      </c>
      <c r="C112" s="4">
        <v>0</v>
      </c>
      <c r="D112" s="4">
        <v>1</v>
      </c>
      <c r="E112" s="4">
        <v>210</v>
      </c>
      <c r="F112" s="4">
        <f>ROUND(Source!X86,O112)</f>
        <v>959801.54</v>
      </c>
      <c r="G112" s="4" t="s">
        <v>118</v>
      </c>
      <c r="H112" s="4" t="s">
        <v>119</v>
      </c>
      <c r="I112" s="4"/>
      <c r="J112" s="4"/>
      <c r="K112" s="4">
        <v>210</v>
      </c>
      <c r="L112" s="4">
        <v>25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959801.54</v>
      </c>
      <c r="X112" s="4">
        <v>1</v>
      </c>
      <c r="Y112" s="4">
        <v>959801.54</v>
      </c>
      <c r="Z112" s="4"/>
      <c r="AA112" s="4"/>
      <c r="AB112" s="4"/>
    </row>
    <row r="113" spans="1:245" ht="13" x14ac:dyDescent="0.3">
      <c r="A113" s="4">
        <v>50</v>
      </c>
      <c r="B113" s="4">
        <v>0</v>
      </c>
      <c r="C113" s="4">
        <v>0</v>
      </c>
      <c r="D113" s="4">
        <v>1</v>
      </c>
      <c r="E113" s="4">
        <v>211</v>
      </c>
      <c r="F113" s="4">
        <f>ROUND(Source!Y86,O113)</f>
        <v>137114.51</v>
      </c>
      <c r="G113" s="4" t="s">
        <v>120</v>
      </c>
      <c r="H113" s="4" t="s">
        <v>121</v>
      </c>
      <c r="I113" s="4"/>
      <c r="J113" s="4"/>
      <c r="K113" s="4">
        <v>211</v>
      </c>
      <c r="L113" s="4">
        <v>26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137114.51</v>
      </c>
      <c r="X113" s="4">
        <v>1</v>
      </c>
      <c r="Y113" s="4">
        <v>137114.51</v>
      </c>
      <c r="Z113" s="4"/>
      <c r="AA113" s="4"/>
      <c r="AB113" s="4"/>
    </row>
    <row r="114" spans="1:245" ht="13" x14ac:dyDescent="0.3">
      <c r="A114" s="4">
        <v>50</v>
      </c>
      <c r="B114" s="4">
        <v>0</v>
      </c>
      <c r="C114" s="4">
        <v>0</v>
      </c>
      <c r="D114" s="4">
        <v>1</v>
      </c>
      <c r="E114" s="4">
        <v>224</v>
      </c>
      <c r="F114" s="4">
        <f>ROUND(Source!AR86,O114)</f>
        <v>11210709.539999999</v>
      </c>
      <c r="G114" s="4" t="s">
        <v>122</v>
      </c>
      <c r="H114" s="4" t="s">
        <v>123</v>
      </c>
      <c r="I114" s="4"/>
      <c r="J114" s="4"/>
      <c r="K114" s="4">
        <v>224</v>
      </c>
      <c r="L114" s="4">
        <v>27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11210709.539999999</v>
      </c>
      <c r="X114" s="4">
        <v>1</v>
      </c>
      <c r="Y114" s="4">
        <v>11210709.539999999</v>
      </c>
      <c r="Z114" s="4"/>
      <c r="AA114" s="4"/>
      <c r="AB114" s="4"/>
    </row>
    <row r="116" spans="1:245" ht="13" x14ac:dyDescent="0.3">
      <c r="A116" s="1">
        <v>5</v>
      </c>
      <c r="B116" s="1">
        <v>1</v>
      </c>
      <c r="C116" s="1"/>
      <c r="D116" s="1">
        <f>ROW(A125)</f>
        <v>125</v>
      </c>
      <c r="E116" s="1"/>
      <c r="F116" s="1" t="s">
        <v>16</v>
      </c>
      <c r="G116" s="1" t="s">
        <v>248</v>
      </c>
      <c r="H116" s="1" t="s">
        <v>3</v>
      </c>
      <c r="I116" s="1">
        <v>0</v>
      </c>
      <c r="J116" s="1"/>
      <c r="K116" s="1">
        <v>0</v>
      </c>
      <c r="L116" s="1"/>
      <c r="M116" s="1" t="s">
        <v>3</v>
      </c>
      <c r="N116" s="1"/>
      <c r="O116" s="1"/>
      <c r="P116" s="1"/>
      <c r="Q116" s="1"/>
      <c r="R116" s="1"/>
      <c r="S116" s="1">
        <v>0</v>
      </c>
      <c r="T116" s="1"/>
      <c r="U116" s="1" t="s">
        <v>3</v>
      </c>
      <c r="V116" s="1">
        <v>0</v>
      </c>
      <c r="W116" s="1"/>
      <c r="X116" s="1"/>
      <c r="Y116" s="1"/>
      <c r="Z116" s="1"/>
      <c r="AA116" s="1"/>
      <c r="AB116" s="1" t="s">
        <v>3</v>
      </c>
      <c r="AC116" s="1" t="s">
        <v>3</v>
      </c>
      <c r="AD116" s="1" t="s">
        <v>3</v>
      </c>
      <c r="AE116" s="1" t="s">
        <v>3</v>
      </c>
      <c r="AF116" s="1" t="s">
        <v>3</v>
      </c>
      <c r="AG116" s="1" t="s">
        <v>3</v>
      </c>
      <c r="AH116" s="1"/>
      <c r="AI116" s="1"/>
      <c r="AJ116" s="1"/>
      <c r="AK116" s="1"/>
      <c r="AL116" s="1"/>
      <c r="AM116" s="1"/>
      <c r="AN116" s="1"/>
      <c r="AO116" s="1"/>
      <c r="AP116" s="1" t="s">
        <v>3</v>
      </c>
      <c r="AQ116" s="1" t="s">
        <v>3</v>
      </c>
      <c r="AR116" s="1" t="s">
        <v>3</v>
      </c>
      <c r="AS116" s="1"/>
      <c r="AT116" s="1"/>
      <c r="AU116" s="1"/>
      <c r="AV116" s="1"/>
      <c r="AW116" s="1"/>
      <c r="AX116" s="1"/>
      <c r="AY116" s="1"/>
      <c r="AZ116" s="1" t="s">
        <v>3</v>
      </c>
      <c r="BA116" s="1"/>
      <c r="BB116" s="1" t="s">
        <v>3</v>
      </c>
      <c r="BC116" s="1" t="s">
        <v>3</v>
      </c>
      <c r="BD116" s="1" t="s">
        <v>3</v>
      </c>
      <c r="BE116" s="1" t="s">
        <v>3</v>
      </c>
      <c r="BF116" s="1" t="s">
        <v>3</v>
      </c>
      <c r="BG116" s="1" t="s">
        <v>3</v>
      </c>
      <c r="BH116" s="1" t="s">
        <v>3</v>
      </c>
      <c r="BI116" s="1" t="s">
        <v>3</v>
      </c>
      <c r="BJ116" s="1" t="s">
        <v>3</v>
      </c>
      <c r="BK116" s="1" t="s">
        <v>3</v>
      </c>
      <c r="BL116" s="1" t="s">
        <v>3</v>
      </c>
      <c r="BM116" s="1" t="s">
        <v>3</v>
      </c>
      <c r="BN116" s="1" t="s">
        <v>3</v>
      </c>
      <c r="BO116" s="1" t="s">
        <v>3</v>
      </c>
      <c r="BP116" s="1" t="s">
        <v>3</v>
      </c>
      <c r="BQ116" s="1"/>
      <c r="BR116" s="1"/>
      <c r="BS116" s="1"/>
      <c r="BT116" s="1"/>
      <c r="BU116" s="1"/>
      <c r="BV116" s="1"/>
      <c r="BW116" s="1"/>
      <c r="BX116" s="1">
        <v>0</v>
      </c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>
        <v>0</v>
      </c>
    </row>
    <row r="118" spans="1:245" ht="13" x14ac:dyDescent="0.3">
      <c r="A118" s="2">
        <v>52</v>
      </c>
      <c r="B118" s="2">
        <f t="shared" ref="B118:G118" si="105">B125</f>
        <v>1</v>
      </c>
      <c r="C118" s="2">
        <f t="shared" si="105"/>
        <v>5</v>
      </c>
      <c r="D118" s="2">
        <f t="shared" si="105"/>
        <v>116</v>
      </c>
      <c r="E118" s="2">
        <f t="shared" si="105"/>
        <v>0</v>
      </c>
      <c r="F118" s="2" t="str">
        <f t="shared" si="105"/>
        <v>Новый подраздел</v>
      </c>
      <c r="G118" s="2" t="str">
        <f t="shared" si="105"/>
        <v>Подраздел: УХОД ЗА ЗЕЛЕНЫМИ НАСАЖДЕНИЯМИ</v>
      </c>
      <c r="H118" s="2"/>
      <c r="I118" s="2"/>
      <c r="J118" s="2"/>
      <c r="K118" s="2"/>
      <c r="L118" s="2"/>
      <c r="M118" s="2"/>
      <c r="N118" s="2"/>
      <c r="O118" s="2">
        <f t="shared" ref="O118:AT118" si="106">O125</f>
        <v>7248212.7400000002</v>
      </c>
      <c r="P118" s="2">
        <f t="shared" si="106"/>
        <v>43326.07</v>
      </c>
      <c r="Q118" s="2">
        <f t="shared" si="106"/>
        <v>1951983.64</v>
      </c>
      <c r="R118" s="2">
        <f t="shared" si="106"/>
        <v>623073.14</v>
      </c>
      <c r="S118" s="2">
        <f t="shared" si="106"/>
        <v>5252903.03</v>
      </c>
      <c r="T118" s="2">
        <f t="shared" si="106"/>
        <v>0</v>
      </c>
      <c r="U118" s="2">
        <f t="shared" si="106"/>
        <v>11798.649100000002</v>
      </c>
      <c r="V118" s="2">
        <f t="shared" si="106"/>
        <v>0</v>
      </c>
      <c r="W118" s="2">
        <f t="shared" si="106"/>
        <v>0</v>
      </c>
      <c r="X118" s="2">
        <f t="shared" si="106"/>
        <v>3677032.13</v>
      </c>
      <c r="Y118" s="2">
        <f t="shared" si="106"/>
        <v>525290.31000000006</v>
      </c>
      <c r="Z118" s="2">
        <f t="shared" si="106"/>
        <v>0</v>
      </c>
      <c r="AA118" s="2">
        <f t="shared" si="106"/>
        <v>0</v>
      </c>
      <c r="AB118" s="2">
        <f t="shared" si="106"/>
        <v>7248212.7400000002</v>
      </c>
      <c r="AC118" s="2">
        <f t="shared" si="106"/>
        <v>43326.07</v>
      </c>
      <c r="AD118" s="2">
        <f t="shared" si="106"/>
        <v>1951983.64</v>
      </c>
      <c r="AE118" s="2">
        <f t="shared" si="106"/>
        <v>623073.14</v>
      </c>
      <c r="AF118" s="2">
        <f t="shared" si="106"/>
        <v>5252903.03</v>
      </c>
      <c r="AG118" s="2">
        <f t="shared" si="106"/>
        <v>0</v>
      </c>
      <c r="AH118" s="2">
        <f t="shared" si="106"/>
        <v>11798.649100000002</v>
      </c>
      <c r="AI118" s="2">
        <f t="shared" si="106"/>
        <v>0</v>
      </c>
      <c r="AJ118" s="2">
        <f t="shared" si="106"/>
        <v>0</v>
      </c>
      <c r="AK118" s="2">
        <f t="shared" si="106"/>
        <v>3677032.13</v>
      </c>
      <c r="AL118" s="2">
        <f t="shared" si="106"/>
        <v>525290.31000000006</v>
      </c>
      <c r="AM118" s="2">
        <f t="shared" si="106"/>
        <v>0</v>
      </c>
      <c r="AN118" s="2">
        <f t="shared" si="106"/>
        <v>0</v>
      </c>
      <c r="AO118" s="2">
        <f t="shared" si="106"/>
        <v>0</v>
      </c>
      <c r="AP118" s="2">
        <f t="shared" si="106"/>
        <v>0</v>
      </c>
      <c r="AQ118" s="2">
        <f t="shared" si="106"/>
        <v>0</v>
      </c>
      <c r="AR118" s="2">
        <f t="shared" si="106"/>
        <v>12123454.17</v>
      </c>
      <c r="AS118" s="2">
        <f t="shared" si="106"/>
        <v>0</v>
      </c>
      <c r="AT118" s="2">
        <f t="shared" si="106"/>
        <v>0</v>
      </c>
      <c r="AU118" s="2">
        <f t="shared" ref="AU118:BZ118" si="107">AU125</f>
        <v>12123454.17</v>
      </c>
      <c r="AV118" s="2">
        <f t="shared" si="107"/>
        <v>43326.07</v>
      </c>
      <c r="AW118" s="2">
        <f t="shared" si="107"/>
        <v>43326.07</v>
      </c>
      <c r="AX118" s="2">
        <f t="shared" si="107"/>
        <v>0</v>
      </c>
      <c r="AY118" s="2">
        <f t="shared" si="107"/>
        <v>43326.07</v>
      </c>
      <c r="AZ118" s="2">
        <f t="shared" si="107"/>
        <v>0</v>
      </c>
      <c r="BA118" s="2">
        <f t="shared" si="107"/>
        <v>0</v>
      </c>
      <c r="BB118" s="2">
        <f t="shared" si="107"/>
        <v>0</v>
      </c>
      <c r="BC118" s="2">
        <f t="shared" si="107"/>
        <v>0</v>
      </c>
      <c r="BD118" s="2">
        <f t="shared" si="107"/>
        <v>0</v>
      </c>
      <c r="BE118" s="2">
        <f t="shared" si="107"/>
        <v>0</v>
      </c>
      <c r="BF118" s="2">
        <f t="shared" si="107"/>
        <v>0</v>
      </c>
      <c r="BG118" s="2">
        <f t="shared" si="107"/>
        <v>0</v>
      </c>
      <c r="BH118" s="2">
        <f t="shared" si="107"/>
        <v>0</v>
      </c>
      <c r="BI118" s="2">
        <f t="shared" si="107"/>
        <v>0</v>
      </c>
      <c r="BJ118" s="2">
        <f t="shared" si="107"/>
        <v>0</v>
      </c>
      <c r="BK118" s="2">
        <f t="shared" si="107"/>
        <v>0</v>
      </c>
      <c r="BL118" s="2">
        <f t="shared" si="107"/>
        <v>0</v>
      </c>
      <c r="BM118" s="2">
        <f t="shared" si="107"/>
        <v>0</v>
      </c>
      <c r="BN118" s="2">
        <f t="shared" si="107"/>
        <v>0</v>
      </c>
      <c r="BO118" s="2">
        <f t="shared" si="107"/>
        <v>0</v>
      </c>
      <c r="BP118" s="2">
        <f t="shared" si="107"/>
        <v>0</v>
      </c>
      <c r="BQ118" s="2">
        <f t="shared" si="107"/>
        <v>0</v>
      </c>
      <c r="BR118" s="2">
        <f t="shared" si="107"/>
        <v>0</v>
      </c>
      <c r="BS118" s="2">
        <f t="shared" si="107"/>
        <v>0</v>
      </c>
      <c r="BT118" s="2">
        <f t="shared" si="107"/>
        <v>0</v>
      </c>
      <c r="BU118" s="2">
        <f t="shared" si="107"/>
        <v>0</v>
      </c>
      <c r="BV118" s="2">
        <f t="shared" si="107"/>
        <v>0</v>
      </c>
      <c r="BW118" s="2">
        <f t="shared" si="107"/>
        <v>0</v>
      </c>
      <c r="BX118" s="2">
        <f t="shared" si="107"/>
        <v>0</v>
      </c>
      <c r="BY118" s="2">
        <f t="shared" si="107"/>
        <v>0</v>
      </c>
      <c r="BZ118" s="2">
        <f t="shared" si="107"/>
        <v>0</v>
      </c>
      <c r="CA118" s="2">
        <f t="shared" ref="CA118:DF118" si="108">CA125</f>
        <v>12123454.17</v>
      </c>
      <c r="CB118" s="2">
        <f t="shared" si="108"/>
        <v>0</v>
      </c>
      <c r="CC118" s="2">
        <f t="shared" si="108"/>
        <v>0</v>
      </c>
      <c r="CD118" s="2">
        <f t="shared" si="108"/>
        <v>12123454.17</v>
      </c>
      <c r="CE118" s="2">
        <f t="shared" si="108"/>
        <v>43326.07</v>
      </c>
      <c r="CF118" s="2">
        <f t="shared" si="108"/>
        <v>43326.07</v>
      </c>
      <c r="CG118" s="2">
        <f t="shared" si="108"/>
        <v>0</v>
      </c>
      <c r="CH118" s="2">
        <f t="shared" si="108"/>
        <v>43326.07</v>
      </c>
      <c r="CI118" s="2">
        <f t="shared" si="108"/>
        <v>0</v>
      </c>
      <c r="CJ118" s="2">
        <f t="shared" si="108"/>
        <v>0</v>
      </c>
      <c r="CK118" s="2">
        <f t="shared" si="108"/>
        <v>0</v>
      </c>
      <c r="CL118" s="2">
        <f t="shared" si="108"/>
        <v>0</v>
      </c>
      <c r="CM118" s="2">
        <f t="shared" si="108"/>
        <v>0</v>
      </c>
      <c r="CN118" s="2">
        <f t="shared" si="108"/>
        <v>0</v>
      </c>
      <c r="CO118" s="2">
        <f t="shared" si="108"/>
        <v>0</v>
      </c>
      <c r="CP118" s="2">
        <f t="shared" si="108"/>
        <v>0</v>
      </c>
      <c r="CQ118" s="2">
        <f t="shared" si="108"/>
        <v>0</v>
      </c>
      <c r="CR118" s="2">
        <f t="shared" si="108"/>
        <v>0</v>
      </c>
      <c r="CS118" s="2">
        <f t="shared" si="108"/>
        <v>0</v>
      </c>
      <c r="CT118" s="2">
        <f t="shared" si="108"/>
        <v>0</v>
      </c>
      <c r="CU118" s="2">
        <f t="shared" si="108"/>
        <v>0</v>
      </c>
      <c r="CV118" s="2">
        <f t="shared" si="108"/>
        <v>0</v>
      </c>
      <c r="CW118" s="2">
        <f t="shared" si="108"/>
        <v>0</v>
      </c>
      <c r="CX118" s="2">
        <f t="shared" si="108"/>
        <v>0</v>
      </c>
      <c r="CY118" s="2">
        <f t="shared" si="108"/>
        <v>0</v>
      </c>
      <c r="CZ118" s="2">
        <f t="shared" si="108"/>
        <v>0</v>
      </c>
      <c r="DA118" s="2">
        <f t="shared" si="108"/>
        <v>0</v>
      </c>
      <c r="DB118" s="2">
        <f t="shared" si="108"/>
        <v>0</v>
      </c>
      <c r="DC118" s="2">
        <f t="shared" si="108"/>
        <v>0</v>
      </c>
      <c r="DD118" s="2">
        <f t="shared" si="108"/>
        <v>0</v>
      </c>
      <c r="DE118" s="2">
        <f t="shared" si="108"/>
        <v>0</v>
      </c>
      <c r="DF118" s="2">
        <f t="shared" si="108"/>
        <v>0</v>
      </c>
      <c r="DG118" s="3">
        <f t="shared" ref="DG118:EL118" si="109">DG125</f>
        <v>0</v>
      </c>
      <c r="DH118" s="3">
        <f t="shared" si="109"/>
        <v>0</v>
      </c>
      <c r="DI118" s="3">
        <f t="shared" si="109"/>
        <v>0</v>
      </c>
      <c r="DJ118" s="3">
        <f t="shared" si="109"/>
        <v>0</v>
      </c>
      <c r="DK118" s="3">
        <f t="shared" si="109"/>
        <v>0</v>
      </c>
      <c r="DL118" s="3">
        <f t="shared" si="109"/>
        <v>0</v>
      </c>
      <c r="DM118" s="3">
        <f t="shared" si="109"/>
        <v>0</v>
      </c>
      <c r="DN118" s="3">
        <f t="shared" si="109"/>
        <v>0</v>
      </c>
      <c r="DO118" s="3">
        <f t="shared" si="109"/>
        <v>0</v>
      </c>
      <c r="DP118" s="3">
        <f t="shared" si="109"/>
        <v>0</v>
      </c>
      <c r="DQ118" s="3">
        <f t="shared" si="109"/>
        <v>0</v>
      </c>
      <c r="DR118" s="3">
        <f t="shared" si="109"/>
        <v>0</v>
      </c>
      <c r="DS118" s="3">
        <f t="shared" si="109"/>
        <v>0</v>
      </c>
      <c r="DT118" s="3">
        <f t="shared" si="109"/>
        <v>0</v>
      </c>
      <c r="DU118" s="3">
        <f t="shared" si="109"/>
        <v>0</v>
      </c>
      <c r="DV118" s="3">
        <f t="shared" si="109"/>
        <v>0</v>
      </c>
      <c r="DW118" s="3">
        <f t="shared" si="109"/>
        <v>0</v>
      </c>
      <c r="DX118" s="3">
        <f t="shared" si="109"/>
        <v>0</v>
      </c>
      <c r="DY118" s="3">
        <f t="shared" si="109"/>
        <v>0</v>
      </c>
      <c r="DZ118" s="3">
        <f t="shared" si="109"/>
        <v>0</v>
      </c>
      <c r="EA118" s="3">
        <f t="shared" si="109"/>
        <v>0</v>
      </c>
      <c r="EB118" s="3">
        <f t="shared" si="109"/>
        <v>0</v>
      </c>
      <c r="EC118" s="3">
        <f t="shared" si="109"/>
        <v>0</v>
      </c>
      <c r="ED118" s="3">
        <f t="shared" si="109"/>
        <v>0</v>
      </c>
      <c r="EE118" s="3">
        <f t="shared" si="109"/>
        <v>0</v>
      </c>
      <c r="EF118" s="3">
        <f t="shared" si="109"/>
        <v>0</v>
      </c>
      <c r="EG118" s="3">
        <f t="shared" si="109"/>
        <v>0</v>
      </c>
      <c r="EH118" s="3">
        <f t="shared" si="109"/>
        <v>0</v>
      </c>
      <c r="EI118" s="3">
        <f t="shared" si="109"/>
        <v>0</v>
      </c>
      <c r="EJ118" s="3">
        <f t="shared" si="109"/>
        <v>0</v>
      </c>
      <c r="EK118" s="3">
        <f t="shared" si="109"/>
        <v>0</v>
      </c>
      <c r="EL118" s="3">
        <f t="shared" si="109"/>
        <v>0</v>
      </c>
      <c r="EM118" s="3">
        <f t="shared" ref="EM118:FR118" si="110">EM125</f>
        <v>0</v>
      </c>
      <c r="EN118" s="3">
        <f t="shared" si="110"/>
        <v>0</v>
      </c>
      <c r="EO118" s="3">
        <f t="shared" si="110"/>
        <v>0</v>
      </c>
      <c r="EP118" s="3">
        <f t="shared" si="110"/>
        <v>0</v>
      </c>
      <c r="EQ118" s="3">
        <f t="shared" si="110"/>
        <v>0</v>
      </c>
      <c r="ER118" s="3">
        <f t="shared" si="110"/>
        <v>0</v>
      </c>
      <c r="ES118" s="3">
        <f t="shared" si="110"/>
        <v>0</v>
      </c>
      <c r="ET118" s="3">
        <f t="shared" si="110"/>
        <v>0</v>
      </c>
      <c r="EU118" s="3">
        <f t="shared" si="110"/>
        <v>0</v>
      </c>
      <c r="EV118" s="3">
        <f t="shared" si="110"/>
        <v>0</v>
      </c>
      <c r="EW118" s="3">
        <f t="shared" si="110"/>
        <v>0</v>
      </c>
      <c r="EX118" s="3">
        <f t="shared" si="110"/>
        <v>0</v>
      </c>
      <c r="EY118" s="3">
        <f t="shared" si="110"/>
        <v>0</v>
      </c>
      <c r="EZ118" s="3">
        <f t="shared" si="110"/>
        <v>0</v>
      </c>
      <c r="FA118" s="3">
        <f t="shared" si="110"/>
        <v>0</v>
      </c>
      <c r="FB118" s="3">
        <f t="shared" si="110"/>
        <v>0</v>
      </c>
      <c r="FC118" s="3">
        <f t="shared" si="110"/>
        <v>0</v>
      </c>
      <c r="FD118" s="3">
        <f t="shared" si="110"/>
        <v>0</v>
      </c>
      <c r="FE118" s="3">
        <f t="shared" si="110"/>
        <v>0</v>
      </c>
      <c r="FF118" s="3">
        <f t="shared" si="110"/>
        <v>0</v>
      </c>
      <c r="FG118" s="3">
        <f t="shared" si="110"/>
        <v>0</v>
      </c>
      <c r="FH118" s="3">
        <f t="shared" si="110"/>
        <v>0</v>
      </c>
      <c r="FI118" s="3">
        <f t="shared" si="110"/>
        <v>0</v>
      </c>
      <c r="FJ118" s="3">
        <f t="shared" si="110"/>
        <v>0</v>
      </c>
      <c r="FK118" s="3">
        <f t="shared" si="110"/>
        <v>0</v>
      </c>
      <c r="FL118" s="3">
        <f t="shared" si="110"/>
        <v>0</v>
      </c>
      <c r="FM118" s="3">
        <f t="shared" si="110"/>
        <v>0</v>
      </c>
      <c r="FN118" s="3">
        <f t="shared" si="110"/>
        <v>0</v>
      </c>
      <c r="FO118" s="3">
        <f t="shared" si="110"/>
        <v>0</v>
      </c>
      <c r="FP118" s="3">
        <f t="shared" si="110"/>
        <v>0</v>
      </c>
      <c r="FQ118" s="3">
        <f t="shared" si="110"/>
        <v>0</v>
      </c>
      <c r="FR118" s="3">
        <f t="shared" si="110"/>
        <v>0</v>
      </c>
      <c r="FS118" s="3">
        <f t="shared" ref="FS118:GX118" si="111">FS125</f>
        <v>0</v>
      </c>
      <c r="FT118" s="3">
        <f t="shared" si="111"/>
        <v>0</v>
      </c>
      <c r="FU118" s="3">
        <f t="shared" si="111"/>
        <v>0</v>
      </c>
      <c r="FV118" s="3">
        <f t="shared" si="111"/>
        <v>0</v>
      </c>
      <c r="FW118" s="3">
        <f t="shared" si="111"/>
        <v>0</v>
      </c>
      <c r="FX118" s="3">
        <f t="shared" si="111"/>
        <v>0</v>
      </c>
      <c r="FY118" s="3">
        <f t="shared" si="111"/>
        <v>0</v>
      </c>
      <c r="FZ118" s="3">
        <f t="shared" si="111"/>
        <v>0</v>
      </c>
      <c r="GA118" s="3">
        <f t="shared" si="111"/>
        <v>0</v>
      </c>
      <c r="GB118" s="3">
        <f t="shared" si="111"/>
        <v>0</v>
      </c>
      <c r="GC118" s="3">
        <f t="shared" si="111"/>
        <v>0</v>
      </c>
      <c r="GD118" s="3">
        <f t="shared" si="111"/>
        <v>0</v>
      </c>
      <c r="GE118" s="3">
        <f t="shared" si="111"/>
        <v>0</v>
      </c>
      <c r="GF118" s="3">
        <f t="shared" si="111"/>
        <v>0</v>
      </c>
      <c r="GG118" s="3">
        <f t="shared" si="111"/>
        <v>0</v>
      </c>
      <c r="GH118" s="3">
        <f t="shared" si="111"/>
        <v>0</v>
      </c>
      <c r="GI118" s="3">
        <f t="shared" si="111"/>
        <v>0</v>
      </c>
      <c r="GJ118" s="3">
        <f t="shared" si="111"/>
        <v>0</v>
      </c>
      <c r="GK118" s="3">
        <f t="shared" si="111"/>
        <v>0</v>
      </c>
      <c r="GL118" s="3">
        <f t="shared" si="111"/>
        <v>0</v>
      </c>
      <c r="GM118" s="3">
        <f t="shared" si="111"/>
        <v>0</v>
      </c>
      <c r="GN118" s="3">
        <f t="shared" si="111"/>
        <v>0</v>
      </c>
      <c r="GO118" s="3">
        <f t="shared" si="111"/>
        <v>0</v>
      </c>
      <c r="GP118" s="3">
        <f t="shared" si="111"/>
        <v>0</v>
      </c>
      <c r="GQ118" s="3">
        <f t="shared" si="111"/>
        <v>0</v>
      </c>
      <c r="GR118" s="3">
        <f t="shared" si="111"/>
        <v>0</v>
      </c>
      <c r="GS118" s="3">
        <f t="shared" si="111"/>
        <v>0</v>
      </c>
      <c r="GT118" s="3">
        <f t="shared" si="111"/>
        <v>0</v>
      </c>
      <c r="GU118" s="3">
        <f t="shared" si="111"/>
        <v>0</v>
      </c>
      <c r="GV118" s="3">
        <f t="shared" si="111"/>
        <v>0</v>
      </c>
      <c r="GW118" s="3">
        <f t="shared" si="111"/>
        <v>0</v>
      </c>
      <c r="GX118" s="3">
        <f t="shared" si="111"/>
        <v>0</v>
      </c>
    </row>
    <row r="120" spans="1:245" x14ac:dyDescent="0.25">
      <c r="A120">
        <v>17</v>
      </c>
      <c r="B120">
        <v>1</v>
      </c>
      <c r="C120">
        <f>ROW(SmtRes!A26)</f>
        <v>26</v>
      </c>
      <c r="D120">
        <f>ROW(EtalonRes!A26)</f>
        <v>26</v>
      </c>
      <c r="E120" t="s">
        <v>137</v>
      </c>
      <c r="F120" t="s">
        <v>138</v>
      </c>
      <c r="G120" t="s">
        <v>139</v>
      </c>
      <c r="H120" t="s">
        <v>29</v>
      </c>
      <c r="I120">
        <v>850.19770000000005</v>
      </c>
      <c r="J120">
        <v>0</v>
      </c>
      <c r="K120">
        <v>850.19770000000005</v>
      </c>
      <c r="O120">
        <f>ROUND(CP120,2)</f>
        <v>1122192.94</v>
      </c>
      <c r="P120">
        <f>ROUND(CQ120*I120,2)</f>
        <v>43326.07</v>
      </c>
      <c r="Q120">
        <f>ROUND(CR120*I120,2)</f>
        <v>0</v>
      </c>
      <c r="R120">
        <f>ROUND(CS120*I120,2)</f>
        <v>0</v>
      </c>
      <c r="S120">
        <f>ROUND(CT120*I120,2)</f>
        <v>1078866.8700000001</v>
      </c>
      <c r="T120">
        <f>ROUND(CU120*I120,2)</f>
        <v>0</v>
      </c>
      <c r="U120">
        <f>CV120*I120</f>
        <v>2380.5535600000003</v>
      </c>
      <c r="V120">
        <f>CW120*I120</f>
        <v>0</v>
      </c>
      <c r="W120">
        <f>ROUND(CX120*I120,2)</f>
        <v>0</v>
      </c>
      <c r="X120">
        <f t="shared" ref="X120:Y123" si="112">ROUND(CY120,2)</f>
        <v>755206.81</v>
      </c>
      <c r="Y120">
        <f t="shared" si="112"/>
        <v>107886.69</v>
      </c>
      <c r="AA120">
        <v>80889179</v>
      </c>
      <c r="AB120">
        <f>ROUND((AC120+AD120+AF120),6)</f>
        <v>1319.92</v>
      </c>
      <c r="AC120">
        <f>ROUND(((ES120*56)),6)</f>
        <v>50.96</v>
      </c>
      <c r="AD120">
        <f>ROUND(((((ET120*56))-((EU120*56)))+AE120),6)</f>
        <v>0</v>
      </c>
      <c r="AE120">
        <f>ROUND(((EU120*56)),6)</f>
        <v>0</v>
      </c>
      <c r="AF120">
        <f>ROUND(((EV120*56)),6)</f>
        <v>1268.96</v>
      </c>
      <c r="AG120">
        <f>ROUND((AP120),6)</f>
        <v>0</v>
      </c>
      <c r="AH120">
        <f>((EW120*56))</f>
        <v>2.8000000000000003</v>
      </c>
      <c r="AI120">
        <f>((EX120*56))</f>
        <v>0</v>
      </c>
      <c r="AJ120">
        <f>(AS120)</f>
        <v>0</v>
      </c>
      <c r="AK120">
        <v>23.57</v>
      </c>
      <c r="AL120">
        <v>0.91</v>
      </c>
      <c r="AM120">
        <v>0</v>
      </c>
      <c r="AN120">
        <v>0</v>
      </c>
      <c r="AO120">
        <v>22.66</v>
      </c>
      <c r="AP120">
        <v>0</v>
      </c>
      <c r="AQ120">
        <v>0.05</v>
      </c>
      <c r="AR120">
        <v>0</v>
      </c>
      <c r="AS120">
        <v>0</v>
      </c>
      <c r="AT120">
        <v>70</v>
      </c>
      <c r="AU120">
        <v>10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4</v>
      </c>
      <c r="BJ120" t="s">
        <v>140</v>
      </c>
      <c r="BM120">
        <v>0</v>
      </c>
      <c r="BN120">
        <v>0</v>
      </c>
      <c r="BO120" t="s">
        <v>3</v>
      </c>
      <c r="BP120">
        <v>0</v>
      </c>
      <c r="BQ120">
        <v>1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70</v>
      </c>
      <c r="CA120">
        <v>10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>(P120+Q120+S120)</f>
        <v>1122192.9400000002</v>
      </c>
      <c r="CQ120">
        <f>(AC120*BC120*AW120)</f>
        <v>50.96</v>
      </c>
      <c r="CR120">
        <f>(((((ET120*56))*BB120-((EU120*56))*BS120)+AE120*BS120)*AV120)</f>
        <v>0</v>
      </c>
      <c r="CS120">
        <f>(AE120*BS120*AV120)</f>
        <v>0</v>
      </c>
      <c r="CT120">
        <f>(AF120*BA120*AV120)</f>
        <v>1268.96</v>
      </c>
      <c r="CU120">
        <f>AG120</f>
        <v>0</v>
      </c>
      <c r="CV120">
        <f>(AH120*AV120)</f>
        <v>2.8000000000000003</v>
      </c>
      <c r="CW120">
        <f t="shared" ref="CW120:CX123" si="113">AI120</f>
        <v>0</v>
      </c>
      <c r="CX120">
        <f t="shared" si="113"/>
        <v>0</v>
      </c>
      <c r="CY120">
        <f>((S120*BZ120)/100)</f>
        <v>755206.80900000001</v>
      </c>
      <c r="CZ120">
        <f>((S120*CA120)/100)</f>
        <v>107886.68700000001</v>
      </c>
      <c r="DC120" t="s">
        <v>3</v>
      </c>
      <c r="DD120" t="s">
        <v>141</v>
      </c>
      <c r="DE120" t="s">
        <v>141</v>
      </c>
      <c r="DF120" t="s">
        <v>141</v>
      </c>
      <c r="DG120" t="s">
        <v>141</v>
      </c>
      <c r="DH120" t="s">
        <v>3</v>
      </c>
      <c r="DI120" t="s">
        <v>141</v>
      </c>
      <c r="DJ120" t="s">
        <v>141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1005</v>
      </c>
      <c r="DV120" t="s">
        <v>29</v>
      </c>
      <c r="DW120" t="s">
        <v>29</v>
      </c>
      <c r="DX120">
        <v>100</v>
      </c>
      <c r="DZ120" t="s">
        <v>3</v>
      </c>
      <c r="EA120" t="s">
        <v>3</v>
      </c>
      <c r="EB120" t="s">
        <v>3</v>
      </c>
      <c r="EC120" t="s">
        <v>3</v>
      </c>
      <c r="EE120">
        <v>80196140</v>
      </c>
      <c r="EF120">
        <v>1</v>
      </c>
      <c r="EG120" t="s">
        <v>23</v>
      </c>
      <c r="EH120">
        <v>0</v>
      </c>
      <c r="EI120" t="s">
        <v>3</v>
      </c>
      <c r="EJ120">
        <v>4</v>
      </c>
      <c r="EK120">
        <v>0</v>
      </c>
      <c r="EL120" t="s">
        <v>24</v>
      </c>
      <c r="EM120" t="s">
        <v>25</v>
      </c>
      <c r="EO120" t="s">
        <v>3</v>
      </c>
      <c r="EQ120">
        <v>0</v>
      </c>
      <c r="ER120">
        <v>23.57</v>
      </c>
      <c r="ES120">
        <v>0.91</v>
      </c>
      <c r="ET120">
        <v>0</v>
      </c>
      <c r="EU120">
        <v>0</v>
      </c>
      <c r="EV120">
        <v>22.66</v>
      </c>
      <c r="EW120">
        <v>0.05</v>
      </c>
      <c r="EX120">
        <v>0</v>
      </c>
      <c r="EY120">
        <v>0</v>
      </c>
      <c r="FQ120">
        <v>0</v>
      </c>
      <c r="FR120">
        <v>0</v>
      </c>
      <c r="FS120">
        <v>0</v>
      </c>
      <c r="FX120">
        <v>70</v>
      </c>
      <c r="FY120">
        <v>10</v>
      </c>
      <c r="GA120" t="s">
        <v>3</v>
      </c>
      <c r="GD120">
        <v>0</v>
      </c>
      <c r="GF120">
        <v>1005512256</v>
      </c>
      <c r="GG120">
        <v>2</v>
      </c>
      <c r="GH120">
        <v>1</v>
      </c>
      <c r="GI120">
        <v>-2</v>
      </c>
      <c r="GJ120">
        <v>0</v>
      </c>
      <c r="GK120">
        <f>ROUND(R120*(R12)/100,2)</f>
        <v>0</v>
      </c>
      <c r="GL120">
        <f>ROUND(IF(AND(BH120=3,BI120=3,FS120&lt;&gt;0),P120,0),2)</f>
        <v>0</v>
      </c>
      <c r="GM120">
        <f>ROUND(O120+X120+Y120+GK120,2)+GX120</f>
        <v>1985286.44</v>
      </c>
      <c r="GN120">
        <f>IF(OR(BI120=0,BI120=1),GM120-GX120,0)</f>
        <v>0</v>
      </c>
      <c r="GO120">
        <f>IF(BI120=2,GM120-GX120,0)</f>
        <v>0</v>
      </c>
      <c r="GP120">
        <f>IF(BI120=4,GM120-GX120,0)</f>
        <v>1985286.44</v>
      </c>
      <c r="GR120">
        <v>0</v>
      </c>
      <c r="GS120">
        <v>3</v>
      </c>
      <c r="GT120">
        <v>0</v>
      </c>
      <c r="GU120" t="s">
        <v>3</v>
      </c>
      <c r="GV120">
        <f>ROUND((GT120),6)</f>
        <v>0</v>
      </c>
      <c r="GW120">
        <v>1</v>
      </c>
      <c r="GX120">
        <f>ROUND(HC120*I120,2)</f>
        <v>0</v>
      </c>
      <c r="HA120">
        <v>0</v>
      </c>
      <c r="HB120">
        <v>0</v>
      </c>
      <c r="HC120">
        <f>GV120*GW120</f>
        <v>0</v>
      </c>
      <c r="HE120" t="s">
        <v>3</v>
      </c>
      <c r="HF120" t="s">
        <v>3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HS120">
        <v>0</v>
      </c>
      <c r="IK120">
        <v>0</v>
      </c>
    </row>
    <row r="121" spans="1:245" x14ac:dyDescent="0.25">
      <c r="A121">
        <v>17</v>
      </c>
      <c r="B121">
        <v>1</v>
      </c>
      <c r="C121">
        <f>ROW(SmtRes!A28)</f>
        <v>28</v>
      </c>
      <c r="D121">
        <f>ROW(EtalonRes!A28)</f>
        <v>28</v>
      </c>
      <c r="E121" t="s">
        <v>142</v>
      </c>
      <c r="F121" t="s">
        <v>143</v>
      </c>
      <c r="G121" t="s">
        <v>144</v>
      </c>
      <c r="H121" t="s">
        <v>29</v>
      </c>
      <c r="I121">
        <f>ROUND(170039.54/100,9)</f>
        <v>1700.3954000000001</v>
      </c>
      <c r="J121">
        <v>0</v>
      </c>
      <c r="K121">
        <f>ROUND(170039.54/100,9)</f>
        <v>1700.3954000000001</v>
      </c>
      <c r="O121">
        <f>ROUND(CP121,2)</f>
        <v>4028066.67</v>
      </c>
      <c r="P121">
        <f>ROUND(CQ121*I121,2)</f>
        <v>0</v>
      </c>
      <c r="Q121">
        <f>ROUND(CR121*I121,2)</f>
        <v>207788.32</v>
      </c>
      <c r="R121">
        <f>ROUND(CS121*I121,2)</f>
        <v>20914.86</v>
      </c>
      <c r="S121">
        <f>ROUND(CT121*I121,2)</f>
        <v>3820278.35</v>
      </c>
      <c r="T121">
        <f>ROUND(CU121*I121,2)</f>
        <v>0</v>
      </c>
      <c r="U121">
        <f>CV121*I121</f>
        <v>8331.937460000001</v>
      </c>
      <c r="V121">
        <f>CW121*I121</f>
        <v>0</v>
      </c>
      <c r="W121">
        <f>ROUND(CX121*I121,2)</f>
        <v>0</v>
      </c>
      <c r="X121">
        <f t="shared" si="112"/>
        <v>2674194.85</v>
      </c>
      <c r="Y121">
        <f t="shared" si="112"/>
        <v>382027.84</v>
      </c>
      <c r="AA121">
        <v>80889179</v>
      </c>
      <c r="AB121">
        <f>ROUND((AC121+AD121+AF121),6)</f>
        <v>2368.9</v>
      </c>
      <c r="AC121">
        <f>ROUND(((ES121*5)),6)</f>
        <v>0</v>
      </c>
      <c r="AD121">
        <f>ROUND(((((ET121*5))-((EU121*5)))+AE121),6)</f>
        <v>122.2</v>
      </c>
      <c r="AE121">
        <f>ROUND(((EU121*5)),6)</f>
        <v>12.3</v>
      </c>
      <c r="AF121">
        <f>ROUND(((EV121*5)),6)</f>
        <v>2246.6999999999998</v>
      </c>
      <c r="AG121">
        <f>ROUND((AP121),6)</f>
        <v>0</v>
      </c>
      <c r="AH121">
        <f>((EW121*5))</f>
        <v>4.9000000000000004</v>
      </c>
      <c r="AI121">
        <f>((EX121*5))</f>
        <v>0</v>
      </c>
      <c r="AJ121">
        <f>(AS121)</f>
        <v>0</v>
      </c>
      <c r="AK121">
        <v>473.78</v>
      </c>
      <c r="AL121">
        <v>0</v>
      </c>
      <c r="AM121">
        <v>24.44</v>
      </c>
      <c r="AN121">
        <v>2.46</v>
      </c>
      <c r="AO121">
        <v>449.34</v>
      </c>
      <c r="AP121">
        <v>0</v>
      </c>
      <c r="AQ121">
        <v>0.98</v>
      </c>
      <c r="AR121">
        <v>0</v>
      </c>
      <c r="AS121">
        <v>0</v>
      </c>
      <c r="AT121">
        <v>70</v>
      </c>
      <c r="AU121">
        <v>10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4</v>
      </c>
      <c r="BJ121" t="s">
        <v>145</v>
      </c>
      <c r="BM121">
        <v>0</v>
      </c>
      <c r="BN121">
        <v>0</v>
      </c>
      <c r="BO121" t="s">
        <v>3</v>
      </c>
      <c r="BP121">
        <v>0</v>
      </c>
      <c r="BQ121">
        <v>1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70</v>
      </c>
      <c r="CA121">
        <v>10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>(P121+Q121+S121)</f>
        <v>4028066.67</v>
      </c>
      <c r="CQ121">
        <f>(AC121*BC121*AW121)</f>
        <v>0</v>
      </c>
      <c r="CR121">
        <f>(((((ET121*5))*BB121-((EU121*5))*BS121)+AE121*BS121)*AV121)</f>
        <v>122.2</v>
      </c>
      <c r="CS121">
        <f>(AE121*BS121*AV121)</f>
        <v>12.3</v>
      </c>
      <c r="CT121">
        <f>(AF121*BA121*AV121)</f>
        <v>2246.6999999999998</v>
      </c>
      <c r="CU121">
        <f>AG121</f>
        <v>0</v>
      </c>
      <c r="CV121">
        <f>(AH121*AV121)</f>
        <v>4.9000000000000004</v>
      </c>
      <c r="CW121">
        <f t="shared" si="113"/>
        <v>0</v>
      </c>
      <c r="CX121">
        <f t="shared" si="113"/>
        <v>0</v>
      </c>
      <c r="CY121">
        <f>((S121*BZ121)/100)</f>
        <v>2674194.8450000002</v>
      </c>
      <c r="CZ121">
        <f>((S121*CA121)/100)</f>
        <v>382027.83500000002</v>
      </c>
      <c r="DC121" t="s">
        <v>3</v>
      </c>
      <c r="DD121" t="s">
        <v>146</v>
      </c>
      <c r="DE121" t="s">
        <v>146</v>
      </c>
      <c r="DF121" t="s">
        <v>146</v>
      </c>
      <c r="DG121" t="s">
        <v>146</v>
      </c>
      <c r="DH121" t="s">
        <v>3</v>
      </c>
      <c r="DI121" t="s">
        <v>146</v>
      </c>
      <c r="DJ121" t="s">
        <v>146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1005</v>
      </c>
      <c r="DV121" t="s">
        <v>29</v>
      </c>
      <c r="DW121" t="s">
        <v>29</v>
      </c>
      <c r="DX121">
        <v>100</v>
      </c>
      <c r="DZ121" t="s">
        <v>3</v>
      </c>
      <c r="EA121" t="s">
        <v>3</v>
      </c>
      <c r="EB121" t="s">
        <v>3</v>
      </c>
      <c r="EC121" t="s">
        <v>3</v>
      </c>
      <c r="EE121">
        <v>80196140</v>
      </c>
      <c r="EF121">
        <v>1</v>
      </c>
      <c r="EG121" t="s">
        <v>23</v>
      </c>
      <c r="EH121">
        <v>0</v>
      </c>
      <c r="EI121" t="s">
        <v>3</v>
      </c>
      <c r="EJ121">
        <v>4</v>
      </c>
      <c r="EK121">
        <v>0</v>
      </c>
      <c r="EL121" t="s">
        <v>24</v>
      </c>
      <c r="EM121" t="s">
        <v>25</v>
      </c>
      <c r="EO121" t="s">
        <v>3</v>
      </c>
      <c r="EQ121">
        <v>0</v>
      </c>
      <c r="ER121">
        <v>473.78</v>
      </c>
      <c r="ES121">
        <v>0</v>
      </c>
      <c r="ET121">
        <v>24.44</v>
      </c>
      <c r="EU121">
        <v>2.46</v>
      </c>
      <c r="EV121">
        <v>449.34</v>
      </c>
      <c r="EW121">
        <v>0.98</v>
      </c>
      <c r="EX121">
        <v>0</v>
      </c>
      <c r="EY121">
        <v>0</v>
      </c>
      <c r="FQ121">
        <v>0</v>
      </c>
      <c r="FR121">
        <v>0</v>
      </c>
      <c r="FS121">
        <v>0</v>
      </c>
      <c r="FX121">
        <v>70</v>
      </c>
      <c r="FY121">
        <v>10</v>
      </c>
      <c r="GA121" t="s">
        <v>3</v>
      </c>
      <c r="GD121">
        <v>0</v>
      </c>
      <c r="GF121">
        <v>-1313962782</v>
      </c>
      <c r="GG121">
        <v>2</v>
      </c>
      <c r="GH121">
        <v>1</v>
      </c>
      <c r="GI121">
        <v>-2</v>
      </c>
      <c r="GJ121">
        <v>0</v>
      </c>
      <c r="GK121">
        <f>ROUND(R121*(R12)/100,2)</f>
        <v>22588.05</v>
      </c>
      <c r="GL121">
        <f>ROUND(IF(AND(BH121=3,BI121=3,FS121&lt;&gt;0),P121,0),2)</f>
        <v>0</v>
      </c>
      <c r="GM121">
        <f>ROUND(O121+X121+Y121+GK121,2)+GX121</f>
        <v>7106877.4100000001</v>
      </c>
      <c r="GN121">
        <f>IF(OR(BI121=0,BI121=1),GM121-GX121,0)</f>
        <v>0</v>
      </c>
      <c r="GO121">
        <f>IF(BI121=2,GM121-GX121,0)</f>
        <v>0</v>
      </c>
      <c r="GP121">
        <f>IF(BI121=4,GM121-GX121,0)</f>
        <v>7106877.4100000001</v>
      </c>
      <c r="GR121">
        <v>0</v>
      </c>
      <c r="GS121">
        <v>3</v>
      </c>
      <c r="GT121">
        <v>0</v>
      </c>
      <c r="GU121" t="s">
        <v>3</v>
      </c>
      <c r="GV121">
        <f>ROUND((GT121),6)</f>
        <v>0</v>
      </c>
      <c r="GW121">
        <v>1</v>
      </c>
      <c r="GX121">
        <f>ROUND(HC121*I121,2)</f>
        <v>0</v>
      </c>
      <c r="HA121">
        <v>0</v>
      </c>
      <c r="HB121">
        <v>0</v>
      </c>
      <c r="HC121">
        <f>GV121*GW121</f>
        <v>0</v>
      </c>
      <c r="HE121" t="s">
        <v>3</v>
      </c>
      <c r="HF121" t="s">
        <v>3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HS121">
        <v>0</v>
      </c>
      <c r="IK121">
        <v>0</v>
      </c>
    </row>
    <row r="122" spans="1:245" x14ac:dyDescent="0.25">
      <c r="A122">
        <v>17</v>
      </c>
      <c r="B122">
        <v>1</v>
      </c>
      <c r="C122">
        <f>ROW(SmtRes!A31)</f>
        <v>31</v>
      </c>
      <c r="D122">
        <f>ROW(EtalonRes!A31)</f>
        <v>31</v>
      </c>
      <c r="E122" t="s">
        <v>147</v>
      </c>
      <c r="F122" t="s">
        <v>148</v>
      </c>
      <c r="G122" t="s">
        <v>149</v>
      </c>
      <c r="H122" t="s">
        <v>38</v>
      </c>
      <c r="I122">
        <v>969.78399999999999</v>
      </c>
      <c r="J122">
        <v>0</v>
      </c>
      <c r="K122">
        <v>969.78399999999999</v>
      </c>
      <c r="O122">
        <f>ROUND(CP122,2)</f>
        <v>2204260.85</v>
      </c>
      <c r="P122">
        <f>ROUND(CQ122*I122,2)</f>
        <v>106307.72</v>
      </c>
      <c r="Q122">
        <f>ROUND(CR122*I122,2)</f>
        <v>1744195.32</v>
      </c>
      <c r="R122">
        <f>ROUND(CS122*I122,2)</f>
        <v>602158.28</v>
      </c>
      <c r="S122">
        <f>ROUND(CT122*I122,2)</f>
        <v>353757.81</v>
      </c>
      <c r="T122">
        <f>ROUND(CU122*I122,2)</f>
        <v>0</v>
      </c>
      <c r="U122">
        <f>CV122*I122</f>
        <v>1086.1580800000002</v>
      </c>
      <c r="V122">
        <f>CW122*I122</f>
        <v>0</v>
      </c>
      <c r="W122">
        <f>ROUND(CX122*I122,2)</f>
        <v>0</v>
      </c>
      <c r="X122">
        <f t="shared" si="112"/>
        <v>247630.47</v>
      </c>
      <c r="Y122">
        <f t="shared" si="112"/>
        <v>35375.78</v>
      </c>
      <c r="AA122">
        <v>80889179</v>
      </c>
      <c r="AB122">
        <f>ROUND((AC122+AD122+AF122),6)</f>
        <v>2272.94</v>
      </c>
      <c r="AC122">
        <f>ROUND(((ES122*2)),6)</f>
        <v>109.62</v>
      </c>
      <c r="AD122">
        <f>ROUND(((((ET122*2))-((EU122*2)))+AE122),6)</f>
        <v>1798.54</v>
      </c>
      <c r="AE122">
        <f>ROUND(((EU122*2)),6)</f>
        <v>620.91999999999996</v>
      </c>
      <c r="AF122">
        <f>ROUND(((EV122*2)),6)</f>
        <v>364.78</v>
      </c>
      <c r="AG122">
        <f>ROUND((AP122),6)</f>
        <v>0</v>
      </c>
      <c r="AH122">
        <f>((EW122*2))</f>
        <v>1.1200000000000001</v>
      </c>
      <c r="AI122">
        <f>((EX122*2))</f>
        <v>0</v>
      </c>
      <c r="AJ122">
        <f>(AS122)</f>
        <v>0</v>
      </c>
      <c r="AK122">
        <v>1136.47</v>
      </c>
      <c r="AL122">
        <v>54.81</v>
      </c>
      <c r="AM122">
        <v>899.27</v>
      </c>
      <c r="AN122">
        <v>310.45999999999998</v>
      </c>
      <c r="AO122">
        <v>182.39</v>
      </c>
      <c r="AP122">
        <v>0</v>
      </c>
      <c r="AQ122">
        <v>0.56000000000000005</v>
      </c>
      <c r="AR122">
        <v>0</v>
      </c>
      <c r="AS122">
        <v>0</v>
      </c>
      <c r="AT122">
        <v>70</v>
      </c>
      <c r="AU122">
        <v>10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4</v>
      </c>
      <c r="BJ122" t="s">
        <v>150</v>
      </c>
      <c r="BM122">
        <v>0</v>
      </c>
      <c r="BN122">
        <v>0</v>
      </c>
      <c r="BO122" t="s">
        <v>3</v>
      </c>
      <c r="BP122">
        <v>0</v>
      </c>
      <c r="BQ122">
        <v>1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70</v>
      </c>
      <c r="CA122">
        <v>10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>(P122+Q122+S122)</f>
        <v>2204260.85</v>
      </c>
      <c r="CQ122">
        <f>(AC122*BC122*AW122)</f>
        <v>109.62</v>
      </c>
      <c r="CR122">
        <f>(((((ET122*2))*BB122-((EU122*2))*BS122)+AE122*BS122)*AV122)</f>
        <v>1798.54</v>
      </c>
      <c r="CS122">
        <f>(AE122*BS122*AV122)</f>
        <v>620.91999999999996</v>
      </c>
      <c r="CT122">
        <f>(AF122*BA122*AV122)</f>
        <v>364.78</v>
      </c>
      <c r="CU122">
        <f>AG122</f>
        <v>0</v>
      </c>
      <c r="CV122">
        <f>(AH122*AV122)</f>
        <v>1.1200000000000001</v>
      </c>
      <c r="CW122">
        <f t="shared" si="113"/>
        <v>0</v>
      </c>
      <c r="CX122">
        <f t="shared" si="113"/>
        <v>0</v>
      </c>
      <c r="CY122">
        <f>((S122*BZ122)/100)</f>
        <v>247630.467</v>
      </c>
      <c r="CZ122">
        <f>((S122*CA122)/100)</f>
        <v>35375.781000000003</v>
      </c>
      <c r="DC122" t="s">
        <v>3</v>
      </c>
      <c r="DD122" t="s">
        <v>136</v>
      </c>
      <c r="DE122" t="s">
        <v>136</v>
      </c>
      <c r="DF122" t="s">
        <v>136</v>
      </c>
      <c r="DG122" t="s">
        <v>136</v>
      </c>
      <c r="DH122" t="s">
        <v>3</v>
      </c>
      <c r="DI122" t="s">
        <v>136</v>
      </c>
      <c r="DJ122" t="s">
        <v>136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1007</v>
      </c>
      <c r="DV122" t="s">
        <v>38</v>
      </c>
      <c r="DW122" t="s">
        <v>38</v>
      </c>
      <c r="DX122">
        <v>1</v>
      </c>
      <c r="DZ122" t="s">
        <v>3</v>
      </c>
      <c r="EA122" t="s">
        <v>3</v>
      </c>
      <c r="EB122" t="s">
        <v>3</v>
      </c>
      <c r="EC122" t="s">
        <v>3</v>
      </c>
      <c r="EE122">
        <v>80196140</v>
      </c>
      <c r="EF122">
        <v>1</v>
      </c>
      <c r="EG122" t="s">
        <v>23</v>
      </c>
      <c r="EH122">
        <v>0</v>
      </c>
      <c r="EI122" t="s">
        <v>3</v>
      </c>
      <c r="EJ122">
        <v>4</v>
      </c>
      <c r="EK122">
        <v>0</v>
      </c>
      <c r="EL122" t="s">
        <v>24</v>
      </c>
      <c r="EM122" t="s">
        <v>25</v>
      </c>
      <c r="EO122" t="s">
        <v>3</v>
      </c>
      <c r="EQ122">
        <v>0</v>
      </c>
      <c r="ER122">
        <v>1136.47</v>
      </c>
      <c r="ES122">
        <v>54.81</v>
      </c>
      <c r="ET122">
        <v>899.27</v>
      </c>
      <c r="EU122">
        <v>310.45999999999998</v>
      </c>
      <c r="EV122">
        <v>182.39</v>
      </c>
      <c r="EW122">
        <v>0.56000000000000005</v>
      </c>
      <c r="EX122">
        <v>0</v>
      </c>
      <c r="EY122">
        <v>0</v>
      </c>
      <c r="FQ122">
        <v>0</v>
      </c>
      <c r="FR122">
        <v>0</v>
      </c>
      <c r="FS122">
        <v>0</v>
      </c>
      <c r="FX122">
        <v>70</v>
      </c>
      <c r="FY122">
        <v>10</v>
      </c>
      <c r="GA122" t="s">
        <v>3</v>
      </c>
      <c r="GD122">
        <v>0</v>
      </c>
      <c r="GF122">
        <v>-1576223679</v>
      </c>
      <c r="GG122">
        <v>2</v>
      </c>
      <c r="GH122">
        <v>1</v>
      </c>
      <c r="GI122">
        <v>-2</v>
      </c>
      <c r="GJ122">
        <v>0</v>
      </c>
      <c r="GK122">
        <f>ROUND(R122*(R12)/100,2)</f>
        <v>650330.93999999994</v>
      </c>
      <c r="GL122">
        <f>ROUND(IF(AND(BH122=3,BI122=3,FS122&lt;&gt;0),P122,0),2)</f>
        <v>0</v>
      </c>
      <c r="GM122">
        <f>ROUND(O122+X122+Y122+GK122,2)+GX122</f>
        <v>3137598.04</v>
      </c>
      <c r="GN122">
        <f>IF(OR(BI122=0,BI122=1),GM122-GX122,0)</f>
        <v>0</v>
      </c>
      <c r="GO122">
        <f>IF(BI122=2,GM122-GX122,0)</f>
        <v>0</v>
      </c>
      <c r="GP122">
        <f>IF(BI122=4,GM122-GX122,0)</f>
        <v>3137598.04</v>
      </c>
      <c r="GR122">
        <v>0</v>
      </c>
      <c r="GS122">
        <v>3</v>
      </c>
      <c r="GT122">
        <v>0</v>
      </c>
      <c r="GU122" t="s">
        <v>3</v>
      </c>
      <c r="GV122">
        <f>ROUND((GT122),6)</f>
        <v>0</v>
      </c>
      <c r="GW122">
        <v>1</v>
      </c>
      <c r="GX122">
        <f>ROUND(HC122*I122,2)</f>
        <v>0</v>
      </c>
      <c r="HA122">
        <v>0</v>
      </c>
      <c r="HB122">
        <v>0</v>
      </c>
      <c r="HC122">
        <f>GV122*GW122</f>
        <v>0</v>
      </c>
      <c r="HE122" t="s">
        <v>3</v>
      </c>
      <c r="HF122" t="s">
        <v>3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HS122">
        <v>0</v>
      </c>
      <c r="IK122">
        <v>0</v>
      </c>
    </row>
    <row r="123" spans="1:245" x14ac:dyDescent="0.25">
      <c r="A123">
        <v>18</v>
      </c>
      <c r="B123">
        <v>1</v>
      </c>
      <c r="C123">
        <v>31</v>
      </c>
      <c r="E123" t="s">
        <v>151</v>
      </c>
      <c r="F123" t="s">
        <v>36</v>
      </c>
      <c r="G123" t="s">
        <v>37</v>
      </c>
      <c r="H123" t="s">
        <v>38</v>
      </c>
      <c r="I123">
        <f>I122*J123</f>
        <v>-1939.568</v>
      </c>
      <c r="J123">
        <v>-2</v>
      </c>
      <c r="K123">
        <v>-1</v>
      </c>
      <c r="O123">
        <f>ROUND(CP123,2)</f>
        <v>-106307.72</v>
      </c>
      <c r="P123">
        <f>ROUND(CQ123*I123,2)</f>
        <v>-106307.72</v>
      </c>
      <c r="Q123">
        <f>ROUND(CR123*I123,2)</f>
        <v>0</v>
      </c>
      <c r="R123">
        <f>ROUND(CS123*I123,2)</f>
        <v>0</v>
      </c>
      <c r="S123">
        <f>ROUND(CT123*I123,2)</f>
        <v>0</v>
      </c>
      <c r="T123">
        <f>ROUND(CU123*I123,2)</f>
        <v>0</v>
      </c>
      <c r="U123">
        <f>CV123*I123</f>
        <v>0</v>
      </c>
      <c r="V123">
        <f>CW123*I123</f>
        <v>0</v>
      </c>
      <c r="W123">
        <f>ROUND(CX123*I123,2)</f>
        <v>0</v>
      </c>
      <c r="X123">
        <f t="shared" si="112"/>
        <v>0</v>
      </c>
      <c r="Y123">
        <f t="shared" si="112"/>
        <v>0</v>
      </c>
      <c r="AA123">
        <v>80889179</v>
      </c>
      <c r="AB123">
        <f>ROUND((AC123+AD123+AF123),6)</f>
        <v>54.81</v>
      </c>
      <c r="AC123">
        <f>ROUND((ES123),6)</f>
        <v>54.81</v>
      </c>
      <c r="AD123">
        <f>ROUND((((ET123)-(EU123))+AE123),6)</f>
        <v>0</v>
      </c>
      <c r="AE123">
        <f>ROUND((EU123),6)</f>
        <v>0</v>
      </c>
      <c r="AF123">
        <f>ROUND((EV123),6)</f>
        <v>0</v>
      </c>
      <c r="AG123">
        <f>ROUND((AP123),6)</f>
        <v>0</v>
      </c>
      <c r="AH123">
        <f>(EW123)</f>
        <v>0</v>
      </c>
      <c r="AI123">
        <f>(EX123)</f>
        <v>0</v>
      </c>
      <c r="AJ123">
        <f>(AS123)</f>
        <v>0</v>
      </c>
      <c r="AK123">
        <v>54.81</v>
      </c>
      <c r="AL123">
        <v>54.81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70</v>
      </c>
      <c r="AU123">
        <v>10</v>
      </c>
      <c r="AV123">
        <v>1</v>
      </c>
      <c r="AW123">
        <v>1</v>
      </c>
      <c r="AZ123">
        <v>1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3</v>
      </c>
      <c r="BI123">
        <v>4</v>
      </c>
      <c r="BJ123" t="s">
        <v>39</v>
      </c>
      <c r="BM123">
        <v>0</v>
      </c>
      <c r="BN123">
        <v>0</v>
      </c>
      <c r="BO123" t="s">
        <v>3</v>
      </c>
      <c r="BP123">
        <v>0</v>
      </c>
      <c r="BQ123">
        <v>1</v>
      </c>
      <c r="BR123">
        <v>1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70</v>
      </c>
      <c r="CA123">
        <v>10</v>
      </c>
      <c r="CB123" t="s">
        <v>3</v>
      </c>
      <c r="CE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>(P123+Q123+S123)</f>
        <v>-106307.72</v>
      </c>
      <c r="CQ123">
        <f>(AC123*BC123*AW123)</f>
        <v>54.81</v>
      </c>
      <c r="CR123">
        <f>((((ET123)*BB123-(EU123)*BS123)+AE123*BS123)*AV123)</f>
        <v>0</v>
      </c>
      <c r="CS123">
        <f>(AE123*BS123*AV123)</f>
        <v>0</v>
      </c>
      <c r="CT123">
        <f>(AF123*BA123*AV123)</f>
        <v>0</v>
      </c>
      <c r="CU123">
        <f>AG123</f>
        <v>0</v>
      </c>
      <c r="CV123">
        <f>(AH123*AV123)</f>
        <v>0</v>
      </c>
      <c r="CW123">
        <f t="shared" si="113"/>
        <v>0</v>
      </c>
      <c r="CX123">
        <f t="shared" si="113"/>
        <v>0</v>
      </c>
      <c r="CY123">
        <f>((S123*BZ123)/100)</f>
        <v>0</v>
      </c>
      <c r="CZ123">
        <f>((S123*CA123)/100)</f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1007</v>
      </c>
      <c r="DV123" t="s">
        <v>38</v>
      </c>
      <c r="DW123" t="s">
        <v>38</v>
      </c>
      <c r="DX123">
        <v>1</v>
      </c>
      <c r="DZ123" t="s">
        <v>3</v>
      </c>
      <c r="EA123" t="s">
        <v>3</v>
      </c>
      <c r="EB123" t="s">
        <v>3</v>
      </c>
      <c r="EC123" t="s">
        <v>3</v>
      </c>
      <c r="EE123">
        <v>80196140</v>
      </c>
      <c r="EF123">
        <v>1</v>
      </c>
      <c r="EG123" t="s">
        <v>23</v>
      </c>
      <c r="EH123">
        <v>0</v>
      </c>
      <c r="EI123" t="s">
        <v>3</v>
      </c>
      <c r="EJ123">
        <v>4</v>
      </c>
      <c r="EK123">
        <v>0</v>
      </c>
      <c r="EL123" t="s">
        <v>24</v>
      </c>
      <c r="EM123" t="s">
        <v>25</v>
      </c>
      <c r="EO123" t="s">
        <v>3</v>
      </c>
      <c r="EQ123">
        <v>0</v>
      </c>
      <c r="ER123">
        <v>54.81</v>
      </c>
      <c r="ES123">
        <v>54.81</v>
      </c>
      <c r="ET123">
        <v>0</v>
      </c>
      <c r="EU123">
        <v>0</v>
      </c>
      <c r="EV123">
        <v>0</v>
      </c>
      <c r="EW123">
        <v>0</v>
      </c>
      <c r="EX123">
        <v>0</v>
      </c>
      <c r="FQ123">
        <v>0</v>
      </c>
      <c r="FR123">
        <v>0</v>
      </c>
      <c r="FS123">
        <v>0</v>
      </c>
      <c r="FX123">
        <v>70</v>
      </c>
      <c r="FY123">
        <v>10</v>
      </c>
      <c r="GA123" t="s">
        <v>3</v>
      </c>
      <c r="GD123">
        <v>0</v>
      </c>
      <c r="GF123">
        <v>2112060389</v>
      </c>
      <c r="GG123">
        <v>2</v>
      </c>
      <c r="GH123">
        <v>1</v>
      </c>
      <c r="GI123">
        <v>-2</v>
      </c>
      <c r="GJ123">
        <v>0</v>
      </c>
      <c r="GK123">
        <f>ROUND(R123*(R12)/100,2)</f>
        <v>0</v>
      </c>
      <c r="GL123">
        <f>ROUND(IF(AND(BH123=3,BI123=3,FS123&lt;&gt;0),P123,0),2)</f>
        <v>0</v>
      </c>
      <c r="GM123">
        <f>ROUND(O123+X123+Y123+GK123,2)+GX123</f>
        <v>-106307.72</v>
      </c>
      <c r="GN123">
        <f>IF(OR(BI123=0,BI123=1),GM123-GX123,0)</f>
        <v>0</v>
      </c>
      <c r="GO123">
        <f>IF(BI123=2,GM123-GX123,0)</f>
        <v>0</v>
      </c>
      <c r="GP123">
        <f>IF(BI123=4,GM123-GX123,0)</f>
        <v>-106307.72</v>
      </c>
      <c r="GR123">
        <v>0</v>
      </c>
      <c r="GS123">
        <v>3</v>
      </c>
      <c r="GT123">
        <v>0</v>
      </c>
      <c r="GU123" t="s">
        <v>3</v>
      </c>
      <c r="GV123">
        <f>ROUND((GT123),6)</f>
        <v>0</v>
      </c>
      <c r="GW123">
        <v>1</v>
      </c>
      <c r="GX123">
        <f>ROUND(HC123*I123,2)</f>
        <v>0</v>
      </c>
      <c r="HA123">
        <v>0</v>
      </c>
      <c r="HB123">
        <v>0</v>
      </c>
      <c r="HC123">
        <f>GV123*GW123</f>
        <v>0</v>
      </c>
      <c r="HE123" t="s">
        <v>3</v>
      </c>
      <c r="HF123" t="s">
        <v>3</v>
      </c>
      <c r="HM123" t="s">
        <v>136</v>
      </c>
      <c r="HN123" t="s">
        <v>3</v>
      </c>
      <c r="HO123" t="s">
        <v>3</v>
      </c>
      <c r="HP123" t="s">
        <v>3</v>
      </c>
      <c r="HQ123" t="s">
        <v>3</v>
      </c>
      <c r="HS123">
        <v>0</v>
      </c>
      <c r="IK123">
        <v>0</v>
      </c>
    </row>
    <row r="125" spans="1:245" ht="13" x14ac:dyDescent="0.3">
      <c r="A125" s="2">
        <v>51</v>
      </c>
      <c r="B125" s="2">
        <f>B116</f>
        <v>1</v>
      </c>
      <c r="C125" s="2">
        <f>A116</f>
        <v>5</v>
      </c>
      <c r="D125" s="2">
        <f>ROW(A116)</f>
        <v>116</v>
      </c>
      <c r="E125" s="2"/>
      <c r="F125" s="2" t="str">
        <f>IF(F116&lt;&gt;"",F116,"")</f>
        <v>Новый подраздел</v>
      </c>
      <c r="G125" s="2" t="str">
        <f>IF(G116&lt;&gt;"",G116,"")</f>
        <v>Подраздел: УХОД ЗА ЗЕЛЕНЫМИ НАСАЖДЕНИЯМИ</v>
      </c>
      <c r="H125" s="2">
        <v>0</v>
      </c>
      <c r="I125" s="2"/>
      <c r="J125" s="2"/>
      <c r="K125" s="2"/>
      <c r="L125" s="2"/>
      <c r="M125" s="2"/>
      <c r="N125" s="2"/>
      <c r="O125" s="2">
        <f t="shared" ref="O125:T125" si="114">ROUND(AB125,2)</f>
        <v>7248212.7400000002</v>
      </c>
      <c r="P125" s="2">
        <f t="shared" si="114"/>
        <v>43326.07</v>
      </c>
      <c r="Q125" s="2">
        <f t="shared" si="114"/>
        <v>1951983.64</v>
      </c>
      <c r="R125" s="2">
        <f t="shared" si="114"/>
        <v>623073.14</v>
      </c>
      <c r="S125" s="2">
        <f t="shared" si="114"/>
        <v>5252903.03</v>
      </c>
      <c r="T125" s="2">
        <f t="shared" si="114"/>
        <v>0</v>
      </c>
      <c r="U125" s="2">
        <f>AH125</f>
        <v>11798.649100000002</v>
      </c>
      <c r="V125" s="2">
        <f>AI125</f>
        <v>0</v>
      </c>
      <c r="W125" s="2">
        <f>ROUND(AJ125,2)</f>
        <v>0</v>
      </c>
      <c r="X125" s="2">
        <f>ROUND(AK125,2)</f>
        <v>3677032.13</v>
      </c>
      <c r="Y125" s="2">
        <f>ROUND(AL125,2)</f>
        <v>525290.31000000006</v>
      </c>
      <c r="Z125" s="2"/>
      <c r="AA125" s="2"/>
      <c r="AB125" s="2">
        <f>ROUND(SUMIF(AA120:AA123,"=80889179",O120:O123),2)</f>
        <v>7248212.7400000002</v>
      </c>
      <c r="AC125" s="2">
        <f>ROUND(SUMIF(AA120:AA123,"=80889179",P120:P123),2)</f>
        <v>43326.07</v>
      </c>
      <c r="AD125" s="2">
        <f>ROUND(SUMIF(AA120:AA123,"=80889179",Q120:Q123),2)</f>
        <v>1951983.64</v>
      </c>
      <c r="AE125" s="2">
        <f>ROUND(SUMIF(AA120:AA123,"=80889179",R120:R123),2)</f>
        <v>623073.14</v>
      </c>
      <c r="AF125" s="2">
        <f>ROUND(SUMIF(AA120:AA123,"=80889179",S120:S123),2)</f>
        <v>5252903.03</v>
      </c>
      <c r="AG125" s="2">
        <f>ROUND(SUMIF(AA120:AA123,"=80889179",T120:T123),2)</f>
        <v>0</v>
      </c>
      <c r="AH125" s="2">
        <f>SUMIF(AA120:AA123,"=80889179",U120:U123)</f>
        <v>11798.649100000002</v>
      </c>
      <c r="AI125" s="2">
        <f>SUMIF(AA120:AA123,"=80889179",V120:V123)</f>
        <v>0</v>
      </c>
      <c r="AJ125" s="2">
        <f>ROUND(SUMIF(AA120:AA123,"=80889179",W120:W123),2)</f>
        <v>0</v>
      </c>
      <c r="AK125" s="2">
        <f>ROUND(SUMIF(AA120:AA123,"=80889179",X120:X123),2)</f>
        <v>3677032.13</v>
      </c>
      <c r="AL125" s="2">
        <f>ROUND(SUMIF(AA120:AA123,"=80889179",Y120:Y123),2)</f>
        <v>525290.31000000006</v>
      </c>
      <c r="AM125" s="2"/>
      <c r="AN125" s="2"/>
      <c r="AO125" s="2">
        <f t="shared" ref="AO125:BD125" si="115">ROUND(BX125,2)</f>
        <v>0</v>
      </c>
      <c r="AP125" s="2">
        <f t="shared" si="115"/>
        <v>0</v>
      </c>
      <c r="AQ125" s="2">
        <f t="shared" si="115"/>
        <v>0</v>
      </c>
      <c r="AR125" s="2">
        <f t="shared" si="115"/>
        <v>12123454.17</v>
      </c>
      <c r="AS125" s="2">
        <f t="shared" si="115"/>
        <v>0</v>
      </c>
      <c r="AT125" s="2">
        <f t="shared" si="115"/>
        <v>0</v>
      </c>
      <c r="AU125" s="2">
        <f t="shared" si="115"/>
        <v>12123454.17</v>
      </c>
      <c r="AV125" s="2">
        <f t="shared" si="115"/>
        <v>43326.07</v>
      </c>
      <c r="AW125" s="2">
        <f t="shared" si="115"/>
        <v>43326.07</v>
      </c>
      <c r="AX125" s="2">
        <f t="shared" si="115"/>
        <v>0</v>
      </c>
      <c r="AY125" s="2">
        <f t="shared" si="115"/>
        <v>43326.07</v>
      </c>
      <c r="AZ125" s="2">
        <f t="shared" si="115"/>
        <v>0</v>
      </c>
      <c r="BA125" s="2">
        <f t="shared" si="115"/>
        <v>0</v>
      </c>
      <c r="BB125" s="2">
        <f t="shared" si="115"/>
        <v>0</v>
      </c>
      <c r="BC125" s="2">
        <f t="shared" si="115"/>
        <v>0</v>
      </c>
      <c r="BD125" s="2">
        <f t="shared" si="115"/>
        <v>0</v>
      </c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>
        <f>ROUND(SUMIF(AA120:AA123,"=80889179",FQ120:FQ123),2)</f>
        <v>0</v>
      </c>
      <c r="BY125" s="2">
        <f>ROUND(SUMIF(AA120:AA123,"=80889179",FR120:FR123),2)</f>
        <v>0</v>
      </c>
      <c r="BZ125" s="2">
        <f>ROUND(SUMIF(AA120:AA123,"=80889179",GL120:GL123),2)</f>
        <v>0</v>
      </c>
      <c r="CA125" s="2">
        <f>ROUND(SUMIF(AA120:AA123,"=80889179",GM120:GM123),2)</f>
        <v>12123454.17</v>
      </c>
      <c r="CB125" s="2">
        <f>ROUND(SUMIF(AA120:AA123,"=80889179",GN120:GN123),2)</f>
        <v>0</v>
      </c>
      <c r="CC125" s="2">
        <f>ROUND(SUMIF(AA120:AA123,"=80889179",GO120:GO123),2)</f>
        <v>0</v>
      </c>
      <c r="CD125" s="2">
        <f>ROUND(SUMIF(AA120:AA123,"=80889179",GP120:GP123),2)</f>
        <v>12123454.17</v>
      </c>
      <c r="CE125" s="2">
        <f>AC125-BX125</f>
        <v>43326.07</v>
      </c>
      <c r="CF125" s="2">
        <f>AC125-BY125</f>
        <v>43326.07</v>
      </c>
      <c r="CG125" s="2">
        <f>BX125-BZ125</f>
        <v>0</v>
      </c>
      <c r="CH125" s="2">
        <f>AC125-BX125-BY125+BZ125</f>
        <v>43326.07</v>
      </c>
      <c r="CI125" s="2">
        <f>BY125-BZ125</f>
        <v>0</v>
      </c>
      <c r="CJ125" s="2">
        <f>ROUND(SUMIF(AA120:AA123,"=80889179",GX120:GX123),2)</f>
        <v>0</v>
      </c>
      <c r="CK125" s="2">
        <f>ROUND(SUMIF(AA120:AA123,"=80889179",GY120:GY123),2)</f>
        <v>0</v>
      </c>
      <c r="CL125" s="2">
        <f>ROUND(SUMIF(AA120:AA123,"=80889179",GZ120:GZ123),2)</f>
        <v>0</v>
      </c>
      <c r="CM125" s="2">
        <f>ROUND(SUMIF(AA120:AA123,"=80889179",HD120:HD123),2)</f>
        <v>0</v>
      </c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>
        <v>0</v>
      </c>
    </row>
    <row r="127" spans="1:245" ht="13" x14ac:dyDescent="0.3">
      <c r="A127" s="4">
        <v>50</v>
      </c>
      <c r="B127" s="4">
        <v>0</v>
      </c>
      <c r="C127" s="4">
        <v>0</v>
      </c>
      <c r="D127" s="4">
        <v>1</v>
      </c>
      <c r="E127" s="4">
        <v>201</v>
      </c>
      <c r="F127" s="4">
        <f>ROUND(Source!O125,O127)</f>
        <v>7248212.7400000002</v>
      </c>
      <c r="G127" s="4" t="s">
        <v>70</v>
      </c>
      <c r="H127" s="4" t="s">
        <v>71</v>
      </c>
      <c r="I127" s="4"/>
      <c r="J127" s="4"/>
      <c r="K127" s="4">
        <v>201</v>
      </c>
      <c r="L127" s="4">
        <v>1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7248212.7400000002</v>
      </c>
      <c r="X127" s="4">
        <v>1</v>
      </c>
      <c r="Y127" s="4">
        <v>7248212.7400000002</v>
      </c>
      <c r="Z127" s="4"/>
      <c r="AA127" s="4"/>
      <c r="AB127" s="4"/>
    </row>
    <row r="128" spans="1:245" ht="13" x14ac:dyDescent="0.3">
      <c r="A128" s="4">
        <v>50</v>
      </c>
      <c r="B128" s="4">
        <v>0</v>
      </c>
      <c r="C128" s="4">
        <v>0</v>
      </c>
      <c r="D128" s="4">
        <v>1</v>
      </c>
      <c r="E128" s="4">
        <v>202</v>
      </c>
      <c r="F128" s="4">
        <f>ROUND(Source!P125,O128)</f>
        <v>43326.07</v>
      </c>
      <c r="G128" s="4" t="s">
        <v>72</v>
      </c>
      <c r="H128" s="4" t="s">
        <v>73</v>
      </c>
      <c r="I128" s="4"/>
      <c r="J128" s="4"/>
      <c r="K128" s="4">
        <v>202</v>
      </c>
      <c r="L128" s="4">
        <v>2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43326.07</v>
      </c>
      <c r="X128" s="4">
        <v>1</v>
      </c>
      <c r="Y128" s="4">
        <v>43326.07</v>
      </c>
      <c r="Z128" s="4"/>
      <c r="AA128" s="4"/>
      <c r="AB128" s="4"/>
    </row>
    <row r="129" spans="1:28" ht="13" x14ac:dyDescent="0.3">
      <c r="A129" s="4">
        <v>50</v>
      </c>
      <c r="B129" s="4">
        <v>0</v>
      </c>
      <c r="C129" s="4">
        <v>0</v>
      </c>
      <c r="D129" s="4">
        <v>1</v>
      </c>
      <c r="E129" s="4">
        <v>222</v>
      </c>
      <c r="F129" s="4">
        <f>ROUND(Source!AO125,O129)</f>
        <v>0</v>
      </c>
      <c r="G129" s="4" t="s">
        <v>74</v>
      </c>
      <c r="H129" s="4" t="s">
        <v>75</v>
      </c>
      <c r="I129" s="4"/>
      <c r="J129" s="4"/>
      <c r="K129" s="4">
        <v>222</v>
      </c>
      <c r="L129" s="4">
        <v>3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8" ht="13" x14ac:dyDescent="0.3">
      <c r="A130" s="4">
        <v>50</v>
      </c>
      <c r="B130" s="4">
        <v>0</v>
      </c>
      <c r="C130" s="4">
        <v>0</v>
      </c>
      <c r="D130" s="4">
        <v>1</v>
      </c>
      <c r="E130" s="4">
        <v>225</v>
      </c>
      <c r="F130" s="4">
        <f>ROUND(Source!AV125,O130)</f>
        <v>43326.07</v>
      </c>
      <c r="G130" s="4" t="s">
        <v>76</v>
      </c>
      <c r="H130" s="4" t="s">
        <v>77</v>
      </c>
      <c r="I130" s="4"/>
      <c r="J130" s="4"/>
      <c r="K130" s="4">
        <v>225</v>
      </c>
      <c r="L130" s="4">
        <v>4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43326.07</v>
      </c>
      <c r="X130" s="4">
        <v>1</v>
      </c>
      <c r="Y130" s="4">
        <v>43326.07</v>
      </c>
      <c r="Z130" s="4"/>
      <c r="AA130" s="4"/>
      <c r="AB130" s="4"/>
    </row>
    <row r="131" spans="1:28" ht="13" x14ac:dyDescent="0.3">
      <c r="A131" s="4">
        <v>50</v>
      </c>
      <c r="B131" s="4">
        <v>0</v>
      </c>
      <c r="C131" s="4">
        <v>0</v>
      </c>
      <c r="D131" s="4">
        <v>1</v>
      </c>
      <c r="E131" s="4">
        <v>226</v>
      </c>
      <c r="F131" s="4">
        <f>ROUND(Source!AW125,O131)</f>
        <v>43326.07</v>
      </c>
      <c r="G131" s="4" t="s">
        <v>78</v>
      </c>
      <c r="H131" s="4" t="s">
        <v>79</v>
      </c>
      <c r="I131" s="4"/>
      <c r="J131" s="4"/>
      <c r="K131" s="4">
        <v>226</v>
      </c>
      <c r="L131" s="4">
        <v>5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43326.07</v>
      </c>
      <c r="X131" s="4">
        <v>1</v>
      </c>
      <c r="Y131" s="4">
        <v>43326.07</v>
      </c>
      <c r="Z131" s="4"/>
      <c r="AA131" s="4"/>
      <c r="AB131" s="4"/>
    </row>
    <row r="132" spans="1:28" ht="13" x14ac:dyDescent="0.3">
      <c r="A132" s="4">
        <v>50</v>
      </c>
      <c r="B132" s="4">
        <v>0</v>
      </c>
      <c r="C132" s="4">
        <v>0</v>
      </c>
      <c r="D132" s="4">
        <v>1</v>
      </c>
      <c r="E132" s="4">
        <v>227</v>
      </c>
      <c r="F132" s="4">
        <f>ROUND(Source!AX125,O132)</f>
        <v>0</v>
      </c>
      <c r="G132" s="4" t="s">
        <v>80</v>
      </c>
      <c r="H132" s="4" t="s">
        <v>81</v>
      </c>
      <c r="I132" s="4"/>
      <c r="J132" s="4"/>
      <c r="K132" s="4">
        <v>227</v>
      </c>
      <c r="L132" s="4">
        <v>6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0</v>
      </c>
      <c r="X132" s="4">
        <v>1</v>
      </c>
      <c r="Y132" s="4">
        <v>0</v>
      </c>
      <c r="Z132" s="4"/>
      <c r="AA132" s="4"/>
      <c r="AB132" s="4"/>
    </row>
    <row r="133" spans="1:28" ht="13" x14ac:dyDescent="0.3">
      <c r="A133" s="4">
        <v>50</v>
      </c>
      <c r="B133" s="4">
        <v>0</v>
      </c>
      <c r="C133" s="4">
        <v>0</v>
      </c>
      <c r="D133" s="4">
        <v>1</v>
      </c>
      <c r="E133" s="4">
        <v>228</v>
      </c>
      <c r="F133" s="4">
        <f>ROUND(Source!AY125,O133)</f>
        <v>43326.07</v>
      </c>
      <c r="G133" s="4" t="s">
        <v>82</v>
      </c>
      <c r="H133" s="4" t="s">
        <v>83</v>
      </c>
      <c r="I133" s="4"/>
      <c r="J133" s="4"/>
      <c r="K133" s="4">
        <v>228</v>
      </c>
      <c r="L133" s="4">
        <v>7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43326.07</v>
      </c>
      <c r="X133" s="4">
        <v>1</v>
      </c>
      <c r="Y133" s="4">
        <v>43326.07</v>
      </c>
      <c r="Z133" s="4"/>
      <c r="AA133" s="4"/>
      <c r="AB133" s="4"/>
    </row>
    <row r="134" spans="1:28" ht="13" x14ac:dyDescent="0.3">
      <c r="A134" s="4">
        <v>50</v>
      </c>
      <c r="B134" s="4">
        <v>0</v>
      </c>
      <c r="C134" s="4">
        <v>0</v>
      </c>
      <c r="D134" s="4">
        <v>1</v>
      </c>
      <c r="E134" s="4">
        <v>216</v>
      </c>
      <c r="F134" s="4">
        <f>ROUND(Source!AP125,O134)</f>
        <v>0</v>
      </c>
      <c r="G134" s="4" t="s">
        <v>84</v>
      </c>
      <c r="H134" s="4" t="s">
        <v>85</v>
      </c>
      <c r="I134" s="4"/>
      <c r="J134" s="4"/>
      <c r="K134" s="4">
        <v>216</v>
      </c>
      <c r="L134" s="4">
        <v>8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8" ht="13" x14ac:dyDescent="0.3">
      <c r="A135" s="4">
        <v>50</v>
      </c>
      <c r="B135" s="4">
        <v>0</v>
      </c>
      <c r="C135" s="4">
        <v>0</v>
      </c>
      <c r="D135" s="4">
        <v>1</v>
      </c>
      <c r="E135" s="4">
        <v>223</v>
      </c>
      <c r="F135" s="4">
        <f>ROUND(Source!AQ125,O135)</f>
        <v>0</v>
      </c>
      <c r="G135" s="4" t="s">
        <v>86</v>
      </c>
      <c r="H135" s="4" t="s">
        <v>87</v>
      </c>
      <c r="I135" s="4"/>
      <c r="J135" s="4"/>
      <c r="K135" s="4">
        <v>223</v>
      </c>
      <c r="L135" s="4">
        <v>9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0</v>
      </c>
      <c r="X135" s="4">
        <v>1</v>
      </c>
      <c r="Y135" s="4">
        <v>0</v>
      </c>
      <c r="Z135" s="4"/>
      <c r="AA135" s="4"/>
      <c r="AB135" s="4"/>
    </row>
    <row r="136" spans="1:28" ht="13" x14ac:dyDescent="0.3">
      <c r="A136" s="4">
        <v>50</v>
      </c>
      <c r="B136" s="4">
        <v>0</v>
      </c>
      <c r="C136" s="4">
        <v>0</v>
      </c>
      <c r="D136" s="4">
        <v>1</v>
      </c>
      <c r="E136" s="4">
        <v>229</v>
      </c>
      <c r="F136" s="4">
        <f>ROUND(Source!AZ125,O136)</f>
        <v>0</v>
      </c>
      <c r="G136" s="4" t="s">
        <v>88</v>
      </c>
      <c r="H136" s="4" t="s">
        <v>89</v>
      </c>
      <c r="I136" s="4"/>
      <c r="J136" s="4"/>
      <c r="K136" s="4">
        <v>229</v>
      </c>
      <c r="L136" s="4">
        <v>10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0</v>
      </c>
      <c r="X136" s="4">
        <v>1</v>
      </c>
      <c r="Y136" s="4">
        <v>0</v>
      </c>
      <c r="Z136" s="4"/>
      <c r="AA136" s="4"/>
      <c r="AB136" s="4"/>
    </row>
    <row r="137" spans="1:28" ht="13" x14ac:dyDescent="0.3">
      <c r="A137" s="4">
        <v>50</v>
      </c>
      <c r="B137" s="4">
        <v>0</v>
      </c>
      <c r="C137" s="4">
        <v>0</v>
      </c>
      <c r="D137" s="4">
        <v>1</v>
      </c>
      <c r="E137" s="4">
        <v>203</v>
      </c>
      <c r="F137" s="4">
        <f>ROUND(Source!Q125,O137)</f>
        <v>1951983.64</v>
      </c>
      <c r="G137" s="4" t="s">
        <v>90</v>
      </c>
      <c r="H137" s="4" t="s">
        <v>91</v>
      </c>
      <c r="I137" s="4"/>
      <c r="J137" s="4"/>
      <c r="K137" s="4">
        <v>203</v>
      </c>
      <c r="L137" s="4">
        <v>11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1951983.64</v>
      </c>
      <c r="X137" s="4">
        <v>1</v>
      </c>
      <c r="Y137" s="4">
        <v>1951983.64</v>
      </c>
      <c r="Z137" s="4"/>
      <c r="AA137" s="4"/>
      <c r="AB137" s="4"/>
    </row>
    <row r="138" spans="1:28" ht="13" x14ac:dyDescent="0.3">
      <c r="A138" s="4">
        <v>50</v>
      </c>
      <c r="B138" s="4">
        <v>0</v>
      </c>
      <c r="C138" s="4">
        <v>0</v>
      </c>
      <c r="D138" s="4">
        <v>1</v>
      </c>
      <c r="E138" s="4">
        <v>231</v>
      </c>
      <c r="F138" s="4">
        <f>ROUND(Source!BB125,O138)</f>
        <v>0</v>
      </c>
      <c r="G138" s="4" t="s">
        <v>92</v>
      </c>
      <c r="H138" s="4" t="s">
        <v>93</v>
      </c>
      <c r="I138" s="4"/>
      <c r="J138" s="4"/>
      <c r="K138" s="4">
        <v>231</v>
      </c>
      <c r="L138" s="4">
        <v>12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>
        <v>0</v>
      </c>
      <c r="X138" s="4">
        <v>1</v>
      </c>
      <c r="Y138" s="4">
        <v>0</v>
      </c>
      <c r="Z138" s="4"/>
      <c r="AA138" s="4"/>
      <c r="AB138" s="4"/>
    </row>
    <row r="139" spans="1:28" ht="13" x14ac:dyDescent="0.3">
      <c r="A139" s="4">
        <v>50</v>
      </c>
      <c r="B139" s="4">
        <v>0</v>
      </c>
      <c r="C139" s="4">
        <v>0</v>
      </c>
      <c r="D139" s="4">
        <v>1</v>
      </c>
      <c r="E139" s="4">
        <v>204</v>
      </c>
      <c r="F139" s="4">
        <f>ROUND(Source!R125,O139)</f>
        <v>623073.14</v>
      </c>
      <c r="G139" s="4" t="s">
        <v>94</v>
      </c>
      <c r="H139" s="4" t="s">
        <v>95</v>
      </c>
      <c r="I139" s="4"/>
      <c r="J139" s="4"/>
      <c r="K139" s="4">
        <v>204</v>
      </c>
      <c r="L139" s="4">
        <v>13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623073.14</v>
      </c>
      <c r="X139" s="4">
        <v>1</v>
      </c>
      <c r="Y139" s="4">
        <v>623073.14</v>
      </c>
      <c r="Z139" s="4"/>
      <c r="AA139" s="4"/>
      <c r="AB139" s="4"/>
    </row>
    <row r="140" spans="1:28" ht="13" x14ac:dyDescent="0.3">
      <c r="A140" s="4">
        <v>50</v>
      </c>
      <c r="B140" s="4">
        <v>0</v>
      </c>
      <c r="C140" s="4">
        <v>0</v>
      </c>
      <c r="D140" s="4">
        <v>1</v>
      </c>
      <c r="E140" s="4">
        <v>205</v>
      </c>
      <c r="F140" s="4">
        <f>ROUND(Source!S125,O140)</f>
        <v>5252903.03</v>
      </c>
      <c r="G140" s="4" t="s">
        <v>96</v>
      </c>
      <c r="H140" s="4" t="s">
        <v>97</v>
      </c>
      <c r="I140" s="4"/>
      <c r="J140" s="4"/>
      <c r="K140" s="4">
        <v>205</v>
      </c>
      <c r="L140" s="4">
        <v>14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5252903.03</v>
      </c>
      <c r="X140" s="4">
        <v>1</v>
      </c>
      <c r="Y140" s="4">
        <v>5252903.03</v>
      </c>
      <c r="Z140" s="4"/>
      <c r="AA140" s="4"/>
      <c r="AB140" s="4"/>
    </row>
    <row r="141" spans="1:28" ht="13" x14ac:dyDescent="0.3">
      <c r="A141" s="4">
        <v>50</v>
      </c>
      <c r="B141" s="4">
        <v>0</v>
      </c>
      <c r="C141" s="4">
        <v>0</v>
      </c>
      <c r="D141" s="4">
        <v>1</v>
      </c>
      <c r="E141" s="4">
        <v>232</v>
      </c>
      <c r="F141" s="4">
        <f>ROUND(Source!BC125,O141)</f>
        <v>0</v>
      </c>
      <c r="G141" s="4" t="s">
        <v>98</v>
      </c>
      <c r="H141" s="4" t="s">
        <v>99</v>
      </c>
      <c r="I141" s="4"/>
      <c r="J141" s="4"/>
      <c r="K141" s="4">
        <v>232</v>
      </c>
      <c r="L141" s="4">
        <v>15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8" ht="13" x14ac:dyDescent="0.3">
      <c r="A142" s="4">
        <v>50</v>
      </c>
      <c r="B142" s="4">
        <v>0</v>
      </c>
      <c r="C142" s="4">
        <v>0</v>
      </c>
      <c r="D142" s="4">
        <v>1</v>
      </c>
      <c r="E142" s="4">
        <v>214</v>
      </c>
      <c r="F142" s="4">
        <f>ROUND(Source!AS125,O142)</f>
        <v>0</v>
      </c>
      <c r="G142" s="4" t="s">
        <v>100</v>
      </c>
      <c r="H142" s="4" t="s">
        <v>101</v>
      </c>
      <c r="I142" s="4"/>
      <c r="J142" s="4"/>
      <c r="K142" s="4">
        <v>214</v>
      </c>
      <c r="L142" s="4">
        <v>16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0</v>
      </c>
      <c r="X142" s="4">
        <v>1</v>
      </c>
      <c r="Y142" s="4">
        <v>0</v>
      </c>
      <c r="Z142" s="4"/>
      <c r="AA142" s="4"/>
      <c r="AB142" s="4"/>
    </row>
    <row r="143" spans="1:28" ht="13" x14ac:dyDescent="0.3">
      <c r="A143" s="4">
        <v>50</v>
      </c>
      <c r="B143" s="4">
        <v>0</v>
      </c>
      <c r="C143" s="4">
        <v>0</v>
      </c>
      <c r="D143" s="4">
        <v>1</v>
      </c>
      <c r="E143" s="4">
        <v>215</v>
      </c>
      <c r="F143" s="4">
        <f>ROUND(Source!AT125,O143)</f>
        <v>0</v>
      </c>
      <c r="G143" s="4" t="s">
        <v>102</v>
      </c>
      <c r="H143" s="4" t="s">
        <v>103</v>
      </c>
      <c r="I143" s="4"/>
      <c r="J143" s="4"/>
      <c r="K143" s="4">
        <v>215</v>
      </c>
      <c r="L143" s="4">
        <v>17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0</v>
      </c>
      <c r="X143" s="4">
        <v>1</v>
      </c>
      <c r="Y143" s="4">
        <v>0</v>
      </c>
      <c r="Z143" s="4"/>
      <c r="AA143" s="4"/>
      <c r="AB143" s="4"/>
    </row>
    <row r="144" spans="1:28" ht="13" x14ac:dyDescent="0.3">
      <c r="A144" s="4">
        <v>50</v>
      </c>
      <c r="B144" s="4">
        <v>0</v>
      </c>
      <c r="C144" s="4">
        <v>0</v>
      </c>
      <c r="D144" s="4">
        <v>1</v>
      </c>
      <c r="E144" s="4">
        <v>217</v>
      </c>
      <c r="F144" s="4">
        <f>ROUND(Source!AU125,O144)</f>
        <v>12123454.17</v>
      </c>
      <c r="G144" s="4" t="s">
        <v>104</v>
      </c>
      <c r="H144" s="4" t="s">
        <v>105</v>
      </c>
      <c r="I144" s="4"/>
      <c r="J144" s="4"/>
      <c r="K144" s="4">
        <v>217</v>
      </c>
      <c r="L144" s="4">
        <v>18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12123454.17</v>
      </c>
      <c r="X144" s="4">
        <v>1</v>
      </c>
      <c r="Y144" s="4">
        <v>12123454.17</v>
      </c>
      <c r="Z144" s="4"/>
      <c r="AA144" s="4"/>
      <c r="AB144" s="4"/>
    </row>
    <row r="145" spans="1:206" ht="13" x14ac:dyDescent="0.3">
      <c r="A145" s="4">
        <v>50</v>
      </c>
      <c r="B145" s="4">
        <v>0</v>
      </c>
      <c r="C145" s="4">
        <v>0</v>
      </c>
      <c r="D145" s="4">
        <v>1</v>
      </c>
      <c r="E145" s="4">
        <v>230</v>
      </c>
      <c r="F145" s="4">
        <f>ROUND(Source!BA125,O145)</f>
        <v>0</v>
      </c>
      <c r="G145" s="4" t="s">
        <v>106</v>
      </c>
      <c r="H145" s="4" t="s">
        <v>107</v>
      </c>
      <c r="I145" s="4"/>
      <c r="J145" s="4"/>
      <c r="K145" s="4">
        <v>230</v>
      </c>
      <c r="L145" s="4">
        <v>19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06" ht="13" x14ac:dyDescent="0.3">
      <c r="A146" s="4">
        <v>50</v>
      </c>
      <c r="B146" s="4">
        <v>0</v>
      </c>
      <c r="C146" s="4">
        <v>0</v>
      </c>
      <c r="D146" s="4">
        <v>1</v>
      </c>
      <c r="E146" s="4">
        <v>206</v>
      </c>
      <c r="F146" s="4">
        <f>ROUND(Source!T125,O146)</f>
        <v>0</v>
      </c>
      <c r="G146" s="4" t="s">
        <v>108</v>
      </c>
      <c r="H146" s="4" t="s">
        <v>109</v>
      </c>
      <c r="I146" s="4"/>
      <c r="J146" s="4"/>
      <c r="K146" s="4">
        <v>206</v>
      </c>
      <c r="L146" s="4">
        <v>20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06" ht="13" x14ac:dyDescent="0.3">
      <c r="A147" s="4">
        <v>50</v>
      </c>
      <c r="B147" s="4">
        <v>0</v>
      </c>
      <c r="C147" s="4">
        <v>0</v>
      </c>
      <c r="D147" s="4">
        <v>1</v>
      </c>
      <c r="E147" s="4">
        <v>207</v>
      </c>
      <c r="F147" s="4">
        <f>Source!U125</f>
        <v>11798.649100000002</v>
      </c>
      <c r="G147" s="4" t="s">
        <v>110</v>
      </c>
      <c r="H147" s="4" t="s">
        <v>111</v>
      </c>
      <c r="I147" s="4"/>
      <c r="J147" s="4"/>
      <c r="K147" s="4">
        <v>207</v>
      </c>
      <c r="L147" s="4">
        <v>21</v>
      </c>
      <c r="M147" s="4">
        <v>3</v>
      </c>
      <c r="N147" s="4" t="s">
        <v>3</v>
      </c>
      <c r="O147" s="4">
        <v>-1</v>
      </c>
      <c r="P147" s="4"/>
      <c r="Q147" s="4"/>
      <c r="R147" s="4"/>
      <c r="S147" s="4"/>
      <c r="T147" s="4"/>
      <c r="U147" s="4"/>
      <c r="V147" s="4"/>
      <c r="W147" s="4">
        <v>11798.649100000002</v>
      </c>
      <c r="X147" s="4">
        <v>1</v>
      </c>
      <c r="Y147" s="4">
        <v>11798.649100000002</v>
      </c>
      <c r="Z147" s="4"/>
      <c r="AA147" s="4"/>
      <c r="AB147" s="4"/>
    </row>
    <row r="148" spans="1:206" ht="13" x14ac:dyDescent="0.3">
      <c r="A148" s="4">
        <v>50</v>
      </c>
      <c r="B148" s="4">
        <v>0</v>
      </c>
      <c r="C148" s="4">
        <v>0</v>
      </c>
      <c r="D148" s="4">
        <v>1</v>
      </c>
      <c r="E148" s="4">
        <v>208</v>
      </c>
      <c r="F148" s="4">
        <f>Source!V125</f>
        <v>0</v>
      </c>
      <c r="G148" s="4" t="s">
        <v>112</v>
      </c>
      <c r="H148" s="4" t="s">
        <v>113</v>
      </c>
      <c r="I148" s="4"/>
      <c r="J148" s="4"/>
      <c r="K148" s="4">
        <v>208</v>
      </c>
      <c r="L148" s="4">
        <v>22</v>
      </c>
      <c r="M148" s="4">
        <v>3</v>
      </c>
      <c r="N148" s="4" t="s">
        <v>3</v>
      </c>
      <c r="O148" s="4">
        <v>-1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06" ht="13" x14ac:dyDescent="0.3">
      <c r="A149" s="4">
        <v>50</v>
      </c>
      <c r="B149" s="4">
        <v>0</v>
      </c>
      <c r="C149" s="4">
        <v>0</v>
      </c>
      <c r="D149" s="4">
        <v>1</v>
      </c>
      <c r="E149" s="4">
        <v>209</v>
      </c>
      <c r="F149" s="4">
        <f>ROUND(Source!W125,O149)</f>
        <v>0</v>
      </c>
      <c r="G149" s="4" t="s">
        <v>114</v>
      </c>
      <c r="H149" s="4" t="s">
        <v>115</v>
      </c>
      <c r="I149" s="4"/>
      <c r="J149" s="4"/>
      <c r="K149" s="4">
        <v>209</v>
      </c>
      <c r="L149" s="4">
        <v>23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06" ht="13" x14ac:dyDescent="0.3">
      <c r="A150" s="4">
        <v>50</v>
      </c>
      <c r="B150" s="4">
        <v>0</v>
      </c>
      <c r="C150" s="4">
        <v>0</v>
      </c>
      <c r="D150" s="4">
        <v>1</v>
      </c>
      <c r="E150" s="4">
        <v>233</v>
      </c>
      <c r="F150" s="4">
        <f>ROUND(Source!BD125,O150)</f>
        <v>0</v>
      </c>
      <c r="G150" s="4" t="s">
        <v>116</v>
      </c>
      <c r="H150" s="4" t="s">
        <v>117</v>
      </c>
      <c r="I150" s="4"/>
      <c r="J150" s="4"/>
      <c r="K150" s="4">
        <v>233</v>
      </c>
      <c r="L150" s="4">
        <v>24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06" ht="13" x14ac:dyDescent="0.3">
      <c r="A151" s="4">
        <v>50</v>
      </c>
      <c r="B151" s="4">
        <v>0</v>
      </c>
      <c r="C151" s="4">
        <v>0</v>
      </c>
      <c r="D151" s="4">
        <v>1</v>
      </c>
      <c r="E151" s="4">
        <v>210</v>
      </c>
      <c r="F151" s="4">
        <f>ROUND(Source!X125,O151)</f>
        <v>3677032.13</v>
      </c>
      <c r="G151" s="4" t="s">
        <v>118</v>
      </c>
      <c r="H151" s="4" t="s">
        <v>119</v>
      </c>
      <c r="I151" s="4"/>
      <c r="J151" s="4"/>
      <c r="K151" s="4">
        <v>210</v>
      </c>
      <c r="L151" s="4">
        <v>25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3677032.13</v>
      </c>
      <c r="X151" s="4">
        <v>1</v>
      </c>
      <c r="Y151" s="4">
        <v>3677032.13</v>
      </c>
      <c r="Z151" s="4"/>
      <c r="AA151" s="4"/>
      <c r="AB151" s="4"/>
    </row>
    <row r="152" spans="1:206" ht="13" x14ac:dyDescent="0.3">
      <c r="A152" s="4">
        <v>50</v>
      </c>
      <c r="B152" s="4">
        <v>0</v>
      </c>
      <c r="C152" s="4">
        <v>0</v>
      </c>
      <c r="D152" s="4">
        <v>1</v>
      </c>
      <c r="E152" s="4">
        <v>211</v>
      </c>
      <c r="F152" s="4">
        <f>ROUND(Source!Y125,O152)</f>
        <v>525290.31000000006</v>
      </c>
      <c r="G152" s="4" t="s">
        <v>120</v>
      </c>
      <c r="H152" s="4" t="s">
        <v>121</v>
      </c>
      <c r="I152" s="4"/>
      <c r="J152" s="4"/>
      <c r="K152" s="4">
        <v>211</v>
      </c>
      <c r="L152" s="4">
        <v>26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525290.31000000006</v>
      </c>
      <c r="X152" s="4">
        <v>1</v>
      </c>
      <c r="Y152" s="4">
        <v>525290.31000000006</v>
      </c>
      <c r="Z152" s="4"/>
      <c r="AA152" s="4"/>
      <c r="AB152" s="4"/>
    </row>
    <row r="153" spans="1:206" ht="13" x14ac:dyDescent="0.3">
      <c r="A153" s="4">
        <v>50</v>
      </c>
      <c r="B153" s="4">
        <v>0</v>
      </c>
      <c r="C153" s="4">
        <v>0</v>
      </c>
      <c r="D153" s="4">
        <v>1</v>
      </c>
      <c r="E153" s="4">
        <v>224</v>
      </c>
      <c r="F153" s="4">
        <f>ROUND(Source!AR125,O153)</f>
        <v>12123454.17</v>
      </c>
      <c r="G153" s="4" t="s">
        <v>122</v>
      </c>
      <c r="H153" s="4" t="s">
        <v>123</v>
      </c>
      <c r="I153" s="4"/>
      <c r="J153" s="4"/>
      <c r="K153" s="4">
        <v>224</v>
      </c>
      <c r="L153" s="4">
        <v>27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12123454.17</v>
      </c>
      <c r="X153" s="4">
        <v>1</v>
      </c>
      <c r="Y153" s="4">
        <v>12123454.17</v>
      </c>
      <c r="Z153" s="4"/>
      <c r="AA153" s="4"/>
      <c r="AB153" s="4"/>
    </row>
    <row r="155" spans="1:206" ht="13" x14ac:dyDescent="0.3">
      <c r="A155" s="2">
        <v>51</v>
      </c>
      <c r="B155" s="2">
        <f>B24</f>
        <v>1</v>
      </c>
      <c r="C155" s="2">
        <f>A24</f>
        <v>4</v>
      </c>
      <c r="D155" s="2">
        <f>ROW(A24)</f>
        <v>24</v>
      </c>
      <c r="E155" s="2"/>
      <c r="F155" s="2" t="str">
        <f>IF(F24&lt;&gt;"",F24,"")</f>
        <v>Новый раздел</v>
      </c>
      <c r="G155" s="2" t="str">
        <f>IF(G24&lt;&gt;"",G24,"")</f>
        <v>Раздел: Основная зона</v>
      </c>
      <c r="H155" s="2">
        <v>0</v>
      </c>
      <c r="I155" s="2"/>
      <c r="J155" s="2"/>
      <c r="K155" s="2"/>
      <c r="L155" s="2"/>
      <c r="M155" s="2"/>
      <c r="N155" s="2"/>
      <c r="O155" s="2">
        <f t="shared" ref="O155:T155" si="116">ROUND(O44+O86+O125+AB155,2)</f>
        <v>65223312.240000002</v>
      </c>
      <c r="P155" s="2">
        <f t="shared" si="116"/>
        <v>4608071.09</v>
      </c>
      <c r="Q155" s="2">
        <f t="shared" si="116"/>
        <v>41758623.619999997</v>
      </c>
      <c r="R155" s="2">
        <f t="shared" si="116"/>
        <v>18658006.329999998</v>
      </c>
      <c r="S155" s="2">
        <f t="shared" si="116"/>
        <v>18856617.530000001</v>
      </c>
      <c r="T155" s="2">
        <f t="shared" si="116"/>
        <v>0</v>
      </c>
      <c r="U155" s="2">
        <f>U44+U86+U125+AH155</f>
        <v>41819.844603999998</v>
      </c>
      <c r="V155" s="2">
        <f>V44+V86+V125+AI155</f>
        <v>0</v>
      </c>
      <c r="W155" s="2">
        <f>ROUND(W44+W86+W125+AJ155,2)</f>
        <v>0</v>
      </c>
      <c r="X155" s="2">
        <f>ROUND(X44+X86+X125+AK155,2)</f>
        <v>13199632.27</v>
      </c>
      <c r="Y155" s="2">
        <f>ROUND(Y44+Y86+Y125+AL155,2)</f>
        <v>1885661.77</v>
      </c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>
        <f t="shared" ref="AO155:BD155" si="117">ROUND(AO44+AO86+AO125+BX155,2)</f>
        <v>0</v>
      </c>
      <c r="AP155" s="2">
        <f t="shared" si="117"/>
        <v>0</v>
      </c>
      <c r="AQ155" s="2">
        <f t="shared" si="117"/>
        <v>0</v>
      </c>
      <c r="AR155" s="2">
        <f t="shared" si="117"/>
        <v>100459253.09999999</v>
      </c>
      <c r="AS155" s="2">
        <f t="shared" si="117"/>
        <v>0</v>
      </c>
      <c r="AT155" s="2">
        <f t="shared" si="117"/>
        <v>0</v>
      </c>
      <c r="AU155" s="2">
        <f t="shared" si="117"/>
        <v>100459253.09999999</v>
      </c>
      <c r="AV155" s="2">
        <f t="shared" si="117"/>
        <v>4608071.09</v>
      </c>
      <c r="AW155" s="2">
        <f t="shared" si="117"/>
        <v>4608071.09</v>
      </c>
      <c r="AX155" s="2">
        <f t="shared" si="117"/>
        <v>0</v>
      </c>
      <c r="AY155" s="2">
        <f t="shared" si="117"/>
        <v>4608071.09</v>
      </c>
      <c r="AZ155" s="2">
        <f t="shared" si="117"/>
        <v>0</v>
      </c>
      <c r="BA155" s="2">
        <f t="shared" si="117"/>
        <v>0</v>
      </c>
      <c r="BB155" s="2">
        <f t="shared" si="117"/>
        <v>0</v>
      </c>
      <c r="BC155" s="2">
        <f t="shared" si="117"/>
        <v>0</v>
      </c>
      <c r="BD155" s="2">
        <f t="shared" si="117"/>
        <v>0</v>
      </c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>
        <v>0</v>
      </c>
    </row>
    <row r="157" spans="1:206" ht="13" x14ac:dyDescent="0.3">
      <c r="A157" s="4">
        <v>50</v>
      </c>
      <c r="B157" s="4">
        <v>0</v>
      </c>
      <c r="C157" s="4">
        <v>0</v>
      </c>
      <c r="D157" s="4">
        <v>1</v>
      </c>
      <c r="E157" s="4">
        <v>201</v>
      </c>
      <c r="F157" s="4">
        <f>ROUND(Source!O155,O157)</f>
        <v>65223312.240000002</v>
      </c>
      <c r="G157" s="4" t="s">
        <v>70</v>
      </c>
      <c r="H157" s="4" t="s">
        <v>71</v>
      </c>
      <c r="I157" s="4"/>
      <c r="J157" s="4"/>
      <c r="K157" s="4">
        <v>201</v>
      </c>
      <c r="L157" s="4">
        <v>1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65223312.240000002</v>
      </c>
      <c r="X157" s="4">
        <v>1</v>
      </c>
      <c r="Y157" s="4">
        <v>65223312.240000002</v>
      </c>
      <c r="Z157" s="4"/>
      <c r="AA157" s="4"/>
      <c r="AB157" s="4"/>
    </row>
    <row r="158" spans="1:206" ht="13" x14ac:dyDescent="0.3">
      <c r="A158" s="4">
        <v>50</v>
      </c>
      <c r="B158" s="4">
        <v>0</v>
      </c>
      <c r="C158" s="4">
        <v>0</v>
      </c>
      <c r="D158" s="4">
        <v>1</v>
      </c>
      <c r="E158" s="4">
        <v>202</v>
      </c>
      <c r="F158" s="4">
        <f>ROUND(Source!P155,O158)</f>
        <v>4608071.09</v>
      </c>
      <c r="G158" s="4" t="s">
        <v>72</v>
      </c>
      <c r="H158" s="4" t="s">
        <v>73</v>
      </c>
      <c r="I158" s="4"/>
      <c r="J158" s="4"/>
      <c r="K158" s="4">
        <v>202</v>
      </c>
      <c r="L158" s="4">
        <v>2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4608071.09</v>
      </c>
      <c r="X158" s="4">
        <v>1</v>
      </c>
      <c r="Y158" s="4">
        <v>4608071.09</v>
      </c>
      <c r="Z158" s="4"/>
      <c r="AA158" s="4"/>
      <c r="AB158" s="4"/>
    </row>
    <row r="159" spans="1:206" ht="13" x14ac:dyDescent="0.3">
      <c r="A159" s="4">
        <v>50</v>
      </c>
      <c r="B159" s="4">
        <v>0</v>
      </c>
      <c r="C159" s="4">
        <v>0</v>
      </c>
      <c r="D159" s="4">
        <v>1</v>
      </c>
      <c r="E159" s="4">
        <v>222</v>
      </c>
      <c r="F159" s="4">
        <f>ROUND(Source!AO155,O159)</f>
        <v>0</v>
      </c>
      <c r="G159" s="4" t="s">
        <v>74</v>
      </c>
      <c r="H159" s="4" t="s">
        <v>75</v>
      </c>
      <c r="I159" s="4"/>
      <c r="J159" s="4"/>
      <c r="K159" s="4">
        <v>222</v>
      </c>
      <c r="L159" s="4">
        <v>3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06" ht="13" x14ac:dyDescent="0.3">
      <c r="A160" s="4">
        <v>50</v>
      </c>
      <c r="B160" s="4">
        <v>0</v>
      </c>
      <c r="C160" s="4">
        <v>0</v>
      </c>
      <c r="D160" s="4">
        <v>1</v>
      </c>
      <c r="E160" s="4">
        <v>225</v>
      </c>
      <c r="F160" s="4">
        <f>ROUND(Source!AV155,O160)</f>
        <v>4608071.09</v>
      </c>
      <c r="G160" s="4" t="s">
        <v>76</v>
      </c>
      <c r="H160" s="4" t="s">
        <v>77</v>
      </c>
      <c r="I160" s="4"/>
      <c r="J160" s="4"/>
      <c r="K160" s="4">
        <v>225</v>
      </c>
      <c r="L160" s="4">
        <v>4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4608071.09</v>
      </c>
      <c r="X160" s="4">
        <v>1</v>
      </c>
      <c r="Y160" s="4">
        <v>4608071.09</v>
      </c>
      <c r="Z160" s="4"/>
      <c r="AA160" s="4"/>
      <c r="AB160" s="4"/>
    </row>
    <row r="161" spans="1:28" ht="13" x14ac:dyDescent="0.3">
      <c r="A161" s="4">
        <v>50</v>
      </c>
      <c r="B161" s="4">
        <v>0</v>
      </c>
      <c r="C161" s="4">
        <v>0</v>
      </c>
      <c r="D161" s="4">
        <v>1</v>
      </c>
      <c r="E161" s="4">
        <v>226</v>
      </c>
      <c r="F161" s="4">
        <f>ROUND(Source!AW155,O161)</f>
        <v>4608071.09</v>
      </c>
      <c r="G161" s="4" t="s">
        <v>78</v>
      </c>
      <c r="H161" s="4" t="s">
        <v>79</v>
      </c>
      <c r="I161" s="4"/>
      <c r="J161" s="4"/>
      <c r="K161" s="4">
        <v>226</v>
      </c>
      <c r="L161" s="4">
        <v>5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4608071.09</v>
      </c>
      <c r="X161" s="4">
        <v>1</v>
      </c>
      <c r="Y161" s="4">
        <v>4608071.09</v>
      </c>
      <c r="Z161" s="4"/>
      <c r="AA161" s="4"/>
      <c r="AB161" s="4"/>
    </row>
    <row r="162" spans="1:28" ht="13" x14ac:dyDescent="0.3">
      <c r="A162" s="4">
        <v>50</v>
      </c>
      <c r="B162" s="4">
        <v>0</v>
      </c>
      <c r="C162" s="4">
        <v>0</v>
      </c>
      <c r="D162" s="4">
        <v>1</v>
      </c>
      <c r="E162" s="4">
        <v>227</v>
      </c>
      <c r="F162" s="4">
        <f>ROUND(Source!AX155,O162)</f>
        <v>0</v>
      </c>
      <c r="G162" s="4" t="s">
        <v>80</v>
      </c>
      <c r="H162" s="4" t="s">
        <v>81</v>
      </c>
      <c r="I162" s="4"/>
      <c r="J162" s="4"/>
      <c r="K162" s="4">
        <v>227</v>
      </c>
      <c r="L162" s="4">
        <v>6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ht="13" x14ac:dyDescent="0.3">
      <c r="A163" s="4">
        <v>50</v>
      </c>
      <c r="B163" s="4">
        <v>0</v>
      </c>
      <c r="C163" s="4">
        <v>0</v>
      </c>
      <c r="D163" s="4">
        <v>1</v>
      </c>
      <c r="E163" s="4">
        <v>228</v>
      </c>
      <c r="F163" s="4">
        <f>ROUND(Source!AY155,O163)</f>
        <v>4608071.09</v>
      </c>
      <c r="G163" s="4" t="s">
        <v>82</v>
      </c>
      <c r="H163" s="4" t="s">
        <v>83</v>
      </c>
      <c r="I163" s="4"/>
      <c r="J163" s="4"/>
      <c r="K163" s="4">
        <v>228</v>
      </c>
      <c r="L163" s="4">
        <v>7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4608071.09</v>
      </c>
      <c r="X163" s="4">
        <v>1</v>
      </c>
      <c r="Y163" s="4">
        <v>4608071.09</v>
      </c>
      <c r="Z163" s="4"/>
      <c r="AA163" s="4"/>
      <c r="AB163" s="4"/>
    </row>
    <row r="164" spans="1:28" ht="13" x14ac:dyDescent="0.3">
      <c r="A164" s="4">
        <v>50</v>
      </c>
      <c r="B164" s="4">
        <v>0</v>
      </c>
      <c r="C164" s="4">
        <v>0</v>
      </c>
      <c r="D164" s="4">
        <v>1</v>
      </c>
      <c r="E164" s="4">
        <v>216</v>
      </c>
      <c r="F164" s="4">
        <f>ROUND(Source!AP155,O164)</f>
        <v>0</v>
      </c>
      <c r="G164" s="4" t="s">
        <v>84</v>
      </c>
      <c r="H164" s="4" t="s">
        <v>85</v>
      </c>
      <c r="I164" s="4"/>
      <c r="J164" s="4"/>
      <c r="K164" s="4">
        <v>216</v>
      </c>
      <c r="L164" s="4">
        <v>8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ht="13" x14ac:dyDescent="0.3">
      <c r="A165" s="4">
        <v>50</v>
      </c>
      <c r="B165" s="4">
        <v>0</v>
      </c>
      <c r="C165" s="4">
        <v>0</v>
      </c>
      <c r="D165" s="4">
        <v>1</v>
      </c>
      <c r="E165" s="4">
        <v>223</v>
      </c>
      <c r="F165" s="4">
        <f>ROUND(Source!AQ155,O165)</f>
        <v>0</v>
      </c>
      <c r="G165" s="4" t="s">
        <v>86</v>
      </c>
      <c r="H165" s="4" t="s">
        <v>87</v>
      </c>
      <c r="I165" s="4"/>
      <c r="J165" s="4"/>
      <c r="K165" s="4">
        <v>223</v>
      </c>
      <c r="L165" s="4">
        <v>9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ht="13" x14ac:dyDescent="0.3">
      <c r="A166" s="4">
        <v>50</v>
      </c>
      <c r="B166" s="4">
        <v>0</v>
      </c>
      <c r="C166" s="4">
        <v>0</v>
      </c>
      <c r="D166" s="4">
        <v>1</v>
      </c>
      <c r="E166" s="4">
        <v>229</v>
      </c>
      <c r="F166" s="4">
        <f>ROUND(Source!AZ155,O166)</f>
        <v>0</v>
      </c>
      <c r="G166" s="4" t="s">
        <v>88</v>
      </c>
      <c r="H166" s="4" t="s">
        <v>89</v>
      </c>
      <c r="I166" s="4"/>
      <c r="J166" s="4"/>
      <c r="K166" s="4">
        <v>229</v>
      </c>
      <c r="L166" s="4">
        <v>10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ht="13" x14ac:dyDescent="0.3">
      <c r="A167" s="4">
        <v>50</v>
      </c>
      <c r="B167" s="4">
        <v>0</v>
      </c>
      <c r="C167" s="4">
        <v>0</v>
      </c>
      <c r="D167" s="4">
        <v>1</v>
      </c>
      <c r="E167" s="4">
        <v>203</v>
      </c>
      <c r="F167" s="4">
        <f>ROUND(Source!Q155,O167)</f>
        <v>41758623.619999997</v>
      </c>
      <c r="G167" s="4" t="s">
        <v>90</v>
      </c>
      <c r="H167" s="4" t="s">
        <v>91</v>
      </c>
      <c r="I167" s="4"/>
      <c r="J167" s="4"/>
      <c r="K167" s="4">
        <v>203</v>
      </c>
      <c r="L167" s="4">
        <v>11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41758623.619999997</v>
      </c>
      <c r="X167" s="4">
        <v>1</v>
      </c>
      <c r="Y167" s="4">
        <v>41758623.619999997</v>
      </c>
      <c r="Z167" s="4"/>
      <c r="AA167" s="4"/>
      <c r="AB167" s="4"/>
    </row>
    <row r="168" spans="1:28" ht="13" x14ac:dyDescent="0.3">
      <c r="A168" s="4">
        <v>50</v>
      </c>
      <c r="B168" s="4">
        <v>0</v>
      </c>
      <c r="C168" s="4">
        <v>0</v>
      </c>
      <c r="D168" s="4">
        <v>1</v>
      </c>
      <c r="E168" s="4">
        <v>231</v>
      </c>
      <c r="F168" s="4">
        <f>ROUND(Source!BB155,O168)</f>
        <v>0</v>
      </c>
      <c r="G168" s="4" t="s">
        <v>92</v>
      </c>
      <c r="H168" s="4" t="s">
        <v>93</v>
      </c>
      <c r="I168" s="4"/>
      <c r="J168" s="4"/>
      <c r="K168" s="4">
        <v>231</v>
      </c>
      <c r="L168" s="4">
        <v>12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ht="13" x14ac:dyDescent="0.3">
      <c r="A169" s="4">
        <v>50</v>
      </c>
      <c r="B169" s="4">
        <v>0</v>
      </c>
      <c r="C169" s="4">
        <v>0</v>
      </c>
      <c r="D169" s="4">
        <v>1</v>
      </c>
      <c r="E169" s="4">
        <v>204</v>
      </c>
      <c r="F169" s="4">
        <f>ROUND(Source!R155,O169)</f>
        <v>18658006.329999998</v>
      </c>
      <c r="G169" s="4" t="s">
        <v>94</v>
      </c>
      <c r="H169" s="4" t="s">
        <v>95</v>
      </c>
      <c r="I169" s="4"/>
      <c r="J169" s="4"/>
      <c r="K169" s="4">
        <v>204</v>
      </c>
      <c r="L169" s="4">
        <v>13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18658006.329999998</v>
      </c>
      <c r="X169" s="4">
        <v>1</v>
      </c>
      <c r="Y169" s="4">
        <v>18658006.329999998</v>
      </c>
      <c r="Z169" s="4"/>
      <c r="AA169" s="4"/>
      <c r="AB169" s="4"/>
    </row>
    <row r="170" spans="1:28" ht="13" x14ac:dyDescent="0.3">
      <c r="A170" s="4">
        <v>50</v>
      </c>
      <c r="B170" s="4">
        <v>0</v>
      </c>
      <c r="C170" s="4">
        <v>0</v>
      </c>
      <c r="D170" s="4">
        <v>1</v>
      </c>
      <c r="E170" s="4">
        <v>205</v>
      </c>
      <c r="F170" s="4">
        <f>ROUND(Source!S155,O170)</f>
        <v>18856617.530000001</v>
      </c>
      <c r="G170" s="4" t="s">
        <v>96</v>
      </c>
      <c r="H170" s="4" t="s">
        <v>97</v>
      </c>
      <c r="I170" s="4"/>
      <c r="J170" s="4"/>
      <c r="K170" s="4">
        <v>205</v>
      </c>
      <c r="L170" s="4">
        <v>14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18856617.530000001</v>
      </c>
      <c r="X170" s="4">
        <v>1</v>
      </c>
      <c r="Y170" s="4">
        <v>18856617.530000001</v>
      </c>
      <c r="Z170" s="4"/>
      <c r="AA170" s="4"/>
      <c r="AB170" s="4"/>
    </row>
    <row r="171" spans="1:28" ht="13" x14ac:dyDescent="0.3">
      <c r="A171" s="4">
        <v>50</v>
      </c>
      <c r="B171" s="4">
        <v>0</v>
      </c>
      <c r="C171" s="4">
        <v>0</v>
      </c>
      <c r="D171" s="4">
        <v>1</v>
      </c>
      <c r="E171" s="4">
        <v>232</v>
      </c>
      <c r="F171" s="4">
        <f>ROUND(Source!BC155,O171)</f>
        <v>0</v>
      </c>
      <c r="G171" s="4" t="s">
        <v>98</v>
      </c>
      <c r="H171" s="4" t="s">
        <v>99</v>
      </c>
      <c r="I171" s="4"/>
      <c r="J171" s="4"/>
      <c r="K171" s="4">
        <v>232</v>
      </c>
      <c r="L171" s="4">
        <v>15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ht="13" x14ac:dyDescent="0.3">
      <c r="A172" s="4">
        <v>50</v>
      </c>
      <c r="B172" s="4">
        <v>0</v>
      </c>
      <c r="C172" s="4">
        <v>0</v>
      </c>
      <c r="D172" s="4">
        <v>1</v>
      </c>
      <c r="E172" s="4">
        <v>214</v>
      </c>
      <c r="F172" s="4">
        <f>ROUND(Source!AS155,O172)</f>
        <v>0</v>
      </c>
      <c r="G172" s="4" t="s">
        <v>100</v>
      </c>
      <c r="H172" s="4" t="s">
        <v>101</v>
      </c>
      <c r="I172" s="4"/>
      <c r="J172" s="4"/>
      <c r="K172" s="4">
        <v>214</v>
      </c>
      <c r="L172" s="4">
        <v>16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ht="13" x14ac:dyDescent="0.3">
      <c r="A173" s="4">
        <v>50</v>
      </c>
      <c r="B173" s="4">
        <v>0</v>
      </c>
      <c r="C173" s="4">
        <v>0</v>
      </c>
      <c r="D173" s="4">
        <v>1</v>
      </c>
      <c r="E173" s="4">
        <v>215</v>
      </c>
      <c r="F173" s="4">
        <f>ROUND(Source!AT155,O173)</f>
        <v>0</v>
      </c>
      <c r="G173" s="4" t="s">
        <v>102</v>
      </c>
      <c r="H173" s="4" t="s">
        <v>103</v>
      </c>
      <c r="I173" s="4"/>
      <c r="J173" s="4"/>
      <c r="K173" s="4">
        <v>215</v>
      </c>
      <c r="L173" s="4">
        <v>17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ht="13" x14ac:dyDescent="0.3">
      <c r="A174" s="4">
        <v>50</v>
      </c>
      <c r="B174" s="4">
        <v>0</v>
      </c>
      <c r="C174" s="4">
        <v>0</v>
      </c>
      <c r="D174" s="4">
        <v>1</v>
      </c>
      <c r="E174" s="4">
        <v>217</v>
      </c>
      <c r="F174" s="4">
        <f>ROUND(Source!AU155,O174)</f>
        <v>100459253.09999999</v>
      </c>
      <c r="G174" s="4" t="s">
        <v>104</v>
      </c>
      <c r="H174" s="4" t="s">
        <v>105</v>
      </c>
      <c r="I174" s="4"/>
      <c r="J174" s="4"/>
      <c r="K174" s="4">
        <v>217</v>
      </c>
      <c r="L174" s="4">
        <v>18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100459253.09999999</v>
      </c>
      <c r="X174" s="4">
        <v>1</v>
      </c>
      <c r="Y174" s="4">
        <v>100459253.09999999</v>
      </c>
      <c r="Z174" s="4"/>
      <c r="AA174" s="4"/>
      <c r="AB174" s="4"/>
    </row>
    <row r="175" spans="1:28" ht="13" x14ac:dyDescent="0.3">
      <c r="A175" s="4">
        <v>50</v>
      </c>
      <c r="B175" s="4">
        <v>0</v>
      </c>
      <c r="C175" s="4">
        <v>0</v>
      </c>
      <c r="D175" s="4">
        <v>1</v>
      </c>
      <c r="E175" s="4">
        <v>230</v>
      </c>
      <c r="F175" s="4">
        <f>ROUND(Source!BA155,O175)</f>
        <v>0</v>
      </c>
      <c r="G175" s="4" t="s">
        <v>106</v>
      </c>
      <c r="H175" s="4" t="s">
        <v>107</v>
      </c>
      <c r="I175" s="4"/>
      <c r="J175" s="4"/>
      <c r="K175" s="4">
        <v>230</v>
      </c>
      <c r="L175" s="4">
        <v>19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0</v>
      </c>
      <c r="X175" s="4">
        <v>1</v>
      </c>
      <c r="Y175" s="4">
        <v>0</v>
      </c>
      <c r="Z175" s="4"/>
      <c r="AA175" s="4"/>
      <c r="AB175" s="4"/>
    </row>
    <row r="176" spans="1:28" ht="13" x14ac:dyDescent="0.3">
      <c r="A176" s="4">
        <v>50</v>
      </c>
      <c r="B176" s="4">
        <v>0</v>
      </c>
      <c r="C176" s="4">
        <v>0</v>
      </c>
      <c r="D176" s="4">
        <v>1</v>
      </c>
      <c r="E176" s="4">
        <v>206</v>
      </c>
      <c r="F176" s="4">
        <f>ROUND(Source!T155,O176)</f>
        <v>0</v>
      </c>
      <c r="G176" s="4" t="s">
        <v>108</v>
      </c>
      <c r="H176" s="4" t="s">
        <v>109</v>
      </c>
      <c r="I176" s="4"/>
      <c r="J176" s="4"/>
      <c r="K176" s="4">
        <v>206</v>
      </c>
      <c r="L176" s="4">
        <v>20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06" ht="13" x14ac:dyDescent="0.3">
      <c r="A177" s="4">
        <v>50</v>
      </c>
      <c r="B177" s="4">
        <v>0</v>
      </c>
      <c r="C177" s="4">
        <v>0</v>
      </c>
      <c r="D177" s="4">
        <v>1</v>
      </c>
      <c r="E177" s="4">
        <v>207</v>
      </c>
      <c r="F177" s="4">
        <f>Source!U155</f>
        <v>41819.844603999998</v>
      </c>
      <c r="G177" s="4" t="s">
        <v>110</v>
      </c>
      <c r="H177" s="4" t="s">
        <v>111</v>
      </c>
      <c r="I177" s="4"/>
      <c r="J177" s="4"/>
      <c r="K177" s="4">
        <v>207</v>
      </c>
      <c r="L177" s="4">
        <v>21</v>
      </c>
      <c r="M177" s="4">
        <v>3</v>
      </c>
      <c r="N177" s="4" t="s">
        <v>3</v>
      </c>
      <c r="O177" s="4">
        <v>-1</v>
      </c>
      <c r="P177" s="4"/>
      <c r="Q177" s="4"/>
      <c r="R177" s="4"/>
      <c r="S177" s="4"/>
      <c r="T177" s="4"/>
      <c r="U177" s="4"/>
      <c r="V177" s="4"/>
      <c r="W177" s="4">
        <v>41819.844604000005</v>
      </c>
      <c r="X177" s="4">
        <v>1</v>
      </c>
      <c r="Y177" s="4">
        <v>41819.844604000005</v>
      </c>
      <c r="Z177" s="4"/>
      <c r="AA177" s="4"/>
      <c r="AB177" s="4"/>
    </row>
    <row r="178" spans="1:206" ht="13" x14ac:dyDescent="0.3">
      <c r="A178" s="4">
        <v>50</v>
      </c>
      <c r="B178" s="4">
        <v>0</v>
      </c>
      <c r="C178" s="4">
        <v>0</v>
      </c>
      <c r="D178" s="4">
        <v>1</v>
      </c>
      <c r="E178" s="4">
        <v>208</v>
      </c>
      <c r="F178" s="4">
        <f>Source!V155</f>
        <v>0</v>
      </c>
      <c r="G178" s="4" t="s">
        <v>112</v>
      </c>
      <c r="H178" s="4" t="s">
        <v>113</v>
      </c>
      <c r="I178" s="4"/>
      <c r="J178" s="4"/>
      <c r="K178" s="4">
        <v>208</v>
      </c>
      <c r="L178" s="4">
        <v>22</v>
      </c>
      <c r="M178" s="4">
        <v>3</v>
      </c>
      <c r="N178" s="4" t="s">
        <v>3</v>
      </c>
      <c r="O178" s="4">
        <v>-1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06" ht="13" x14ac:dyDescent="0.3">
      <c r="A179" s="4">
        <v>50</v>
      </c>
      <c r="B179" s="4">
        <v>0</v>
      </c>
      <c r="C179" s="4">
        <v>0</v>
      </c>
      <c r="D179" s="4">
        <v>1</v>
      </c>
      <c r="E179" s="4">
        <v>209</v>
      </c>
      <c r="F179" s="4">
        <f>ROUND(Source!W155,O179)</f>
        <v>0</v>
      </c>
      <c r="G179" s="4" t="s">
        <v>114</v>
      </c>
      <c r="H179" s="4" t="s">
        <v>115</v>
      </c>
      <c r="I179" s="4"/>
      <c r="J179" s="4"/>
      <c r="K179" s="4">
        <v>209</v>
      </c>
      <c r="L179" s="4">
        <v>23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06" ht="13" x14ac:dyDescent="0.3">
      <c r="A180" s="4">
        <v>50</v>
      </c>
      <c r="B180" s="4">
        <v>0</v>
      </c>
      <c r="C180" s="4">
        <v>0</v>
      </c>
      <c r="D180" s="4">
        <v>1</v>
      </c>
      <c r="E180" s="4">
        <v>233</v>
      </c>
      <c r="F180" s="4">
        <f>ROUND(Source!BD155,O180)</f>
        <v>0</v>
      </c>
      <c r="G180" s="4" t="s">
        <v>116</v>
      </c>
      <c r="H180" s="4" t="s">
        <v>117</v>
      </c>
      <c r="I180" s="4"/>
      <c r="J180" s="4"/>
      <c r="K180" s="4">
        <v>233</v>
      </c>
      <c r="L180" s="4">
        <v>24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0</v>
      </c>
      <c r="X180" s="4">
        <v>1</v>
      </c>
      <c r="Y180" s="4">
        <v>0</v>
      </c>
      <c r="Z180" s="4"/>
      <c r="AA180" s="4"/>
      <c r="AB180" s="4"/>
    </row>
    <row r="181" spans="1:206" ht="13" x14ac:dyDescent="0.3">
      <c r="A181" s="4">
        <v>50</v>
      </c>
      <c r="B181" s="4">
        <v>0</v>
      </c>
      <c r="C181" s="4">
        <v>0</v>
      </c>
      <c r="D181" s="4">
        <v>1</v>
      </c>
      <c r="E181" s="4">
        <v>210</v>
      </c>
      <c r="F181" s="4">
        <f>ROUND(Source!X155,O181)</f>
        <v>13199632.27</v>
      </c>
      <c r="G181" s="4" t="s">
        <v>118</v>
      </c>
      <c r="H181" s="4" t="s">
        <v>119</v>
      </c>
      <c r="I181" s="4"/>
      <c r="J181" s="4"/>
      <c r="K181" s="4">
        <v>210</v>
      </c>
      <c r="L181" s="4">
        <v>25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13199632.27</v>
      </c>
      <c r="X181" s="4">
        <v>1</v>
      </c>
      <c r="Y181" s="4">
        <v>13199632.27</v>
      </c>
      <c r="Z181" s="4"/>
      <c r="AA181" s="4"/>
      <c r="AB181" s="4"/>
    </row>
    <row r="182" spans="1:206" ht="13" x14ac:dyDescent="0.3">
      <c r="A182" s="4">
        <v>50</v>
      </c>
      <c r="B182" s="4">
        <v>0</v>
      </c>
      <c r="C182" s="4">
        <v>0</v>
      </c>
      <c r="D182" s="4">
        <v>1</v>
      </c>
      <c r="E182" s="4">
        <v>211</v>
      </c>
      <c r="F182" s="4">
        <f>ROUND(Source!Y155,O182)</f>
        <v>1885661.77</v>
      </c>
      <c r="G182" s="4" t="s">
        <v>120</v>
      </c>
      <c r="H182" s="4" t="s">
        <v>121</v>
      </c>
      <c r="I182" s="4"/>
      <c r="J182" s="4"/>
      <c r="K182" s="4">
        <v>211</v>
      </c>
      <c r="L182" s="4">
        <v>26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1885661.77</v>
      </c>
      <c r="X182" s="4">
        <v>1</v>
      </c>
      <c r="Y182" s="4">
        <v>1885661.77</v>
      </c>
      <c r="Z182" s="4"/>
      <c r="AA182" s="4"/>
      <c r="AB182" s="4"/>
    </row>
    <row r="183" spans="1:206" ht="13" x14ac:dyDescent="0.3">
      <c r="A183" s="4">
        <v>50</v>
      </c>
      <c r="B183" s="4">
        <v>0</v>
      </c>
      <c r="C183" s="4">
        <v>0</v>
      </c>
      <c r="D183" s="4">
        <v>1</v>
      </c>
      <c r="E183" s="4">
        <v>224</v>
      </c>
      <c r="F183" s="4">
        <f>ROUND(Source!AR155,O183)</f>
        <v>100459253.09999999</v>
      </c>
      <c r="G183" s="4" t="s">
        <v>122</v>
      </c>
      <c r="H183" s="4" t="s">
        <v>123</v>
      </c>
      <c r="I183" s="4"/>
      <c r="J183" s="4"/>
      <c r="K183" s="4">
        <v>224</v>
      </c>
      <c r="L183" s="4">
        <v>27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100459253.09999999</v>
      </c>
      <c r="X183" s="4">
        <v>1</v>
      </c>
      <c r="Y183" s="4">
        <v>100459253.09999999</v>
      </c>
      <c r="Z183" s="4"/>
      <c r="AA183" s="4"/>
      <c r="AB183" s="4"/>
    </row>
    <row r="185" spans="1:206" ht="13" x14ac:dyDescent="0.3">
      <c r="A185" s="2">
        <v>51</v>
      </c>
      <c r="B185" s="2">
        <f>B20</f>
        <v>1</v>
      </c>
      <c r="C185" s="2">
        <f>A20</f>
        <v>3</v>
      </c>
      <c r="D185" s="2">
        <f>ROW(A20)</f>
        <v>20</v>
      </c>
      <c r="E185" s="2"/>
      <c r="F185" s="2" t="str">
        <f>IF(F20&lt;&gt;"",F20,"")</f>
        <v>Новая локальная смета</v>
      </c>
      <c r="G185" s="2" t="str">
        <f>IF(G20&lt;&gt;"",G20,"")</f>
        <v>Локальная смета: Зона №4</v>
      </c>
      <c r="H185" s="2">
        <v>0</v>
      </c>
      <c r="I185" s="2"/>
      <c r="J185" s="2"/>
      <c r="K185" s="2"/>
      <c r="L185" s="2"/>
      <c r="M185" s="2"/>
      <c r="N185" s="2"/>
      <c r="O185" s="2">
        <f t="shared" ref="O185:T185" si="118">ROUND(O155+AB185,2)</f>
        <v>65223312.240000002</v>
      </c>
      <c r="P185" s="2">
        <f t="shared" si="118"/>
        <v>4608071.09</v>
      </c>
      <c r="Q185" s="2">
        <f t="shared" si="118"/>
        <v>41758623.619999997</v>
      </c>
      <c r="R185" s="2">
        <f t="shared" si="118"/>
        <v>18658006.329999998</v>
      </c>
      <c r="S185" s="2">
        <f t="shared" si="118"/>
        <v>18856617.530000001</v>
      </c>
      <c r="T185" s="2">
        <f t="shared" si="118"/>
        <v>0</v>
      </c>
      <c r="U185" s="2">
        <f>U155+AH185</f>
        <v>41819.844603999998</v>
      </c>
      <c r="V185" s="2">
        <f>V155+AI185</f>
        <v>0</v>
      </c>
      <c r="W185" s="2">
        <f>ROUND(W155+AJ185,2)</f>
        <v>0</v>
      </c>
      <c r="X185" s="2">
        <f>ROUND(X155+AK185,2)</f>
        <v>13199632.27</v>
      </c>
      <c r="Y185" s="2">
        <f>ROUND(Y155+AL185,2)</f>
        <v>1885661.77</v>
      </c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>
        <f t="shared" ref="AO185:BD185" si="119">ROUND(AO155+BX185,2)</f>
        <v>0</v>
      </c>
      <c r="AP185" s="2">
        <f t="shared" si="119"/>
        <v>0</v>
      </c>
      <c r="AQ185" s="2">
        <f t="shared" si="119"/>
        <v>0</v>
      </c>
      <c r="AR185" s="2">
        <f t="shared" si="119"/>
        <v>100459253.09999999</v>
      </c>
      <c r="AS185" s="2">
        <f t="shared" si="119"/>
        <v>0</v>
      </c>
      <c r="AT185" s="2">
        <f t="shared" si="119"/>
        <v>0</v>
      </c>
      <c r="AU185" s="2">
        <f t="shared" si="119"/>
        <v>100459253.09999999</v>
      </c>
      <c r="AV185" s="2">
        <f t="shared" si="119"/>
        <v>4608071.09</v>
      </c>
      <c r="AW185" s="2">
        <f t="shared" si="119"/>
        <v>4608071.09</v>
      </c>
      <c r="AX185" s="2">
        <f t="shared" si="119"/>
        <v>0</v>
      </c>
      <c r="AY185" s="2">
        <f t="shared" si="119"/>
        <v>4608071.09</v>
      </c>
      <c r="AZ185" s="2">
        <f t="shared" si="119"/>
        <v>0</v>
      </c>
      <c r="BA185" s="2">
        <f t="shared" si="119"/>
        <v>0</v>
      </c>
      <c r="BB185" s="2">
        <f t="shared" si="119"/>
        <v>0</v>
      </c>
      <c r="BC185" s="2">
        <f t="shared" si="119"/>
        <v>0</v>
      </c>
      <c r="BD185" s="2">
        <f t="shared" si="119"/>
        <v>0</v>
      </c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>
        <v>0</v>
      </c>
    </row>
    <row r="187" spans="1:206" ht="13" x14ac:dyDescent="0.3">
      <c r="A187" s="4">
        <v>50</v>
      </c>
      <c r="B187" s="4">
        <v>0</v>
      </c>
      <c r="C187" s="4">
        <v>0</v>
      </c>
      <c r="D187" s="4">
        <v>1</v>
      </c>
      <c r="E187" s="4">
        <v>201</v>
      </c>
      <c r="F187" s="4">
        <f>ROUND(Source!O185,O187)</f>
        <v>65223312.240000002</v>
      </c>
      <c r="G187" s="4" t="s">
        <v>70</v>
      </c>
      <c r="H187" s="4" t="s">
        <v>71</v>
      </c>
      <c r="I187" s="4"/>
      <c r="J187" s="4"/>
      <c r="K187" s="4">
        <v>201</v>
      </c>
      <c r="L187" s="4">
        <v>1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65223312.240000002</v>
      </c>
      <c r="X187" s="4">
        <v>1</v>
      </c>
      <c r="Y187" s="4">
        <v>65223312.240000002</v>
      </c>
      <c r="Z187" s="4"/>
      <c r="AA187" s="4"/>
      <c r="AB187" s="4"/>
    </row>
    <row r="188" spans="1:206" ht="13" x14ac:dyDescent="0.3">
      <c r="A188" s="4">
        <v>50</v>
      </c>
      <c r="B188" s="4">
        <v>0</v>
      </c>
      <c r="C188" s="4">
        <v>0</v>
      </c>
      <c r="D188" s="4">
        <v>1</v>
      </c>
      <c r="E188" s="4">
        <v>202</v>
      </c>
      <c r="F188" s="4">
        <f>ROUND(Source!P185,O188)</f>
        <v>4608071.09</v>
      </c>
      <c r="G188" s="4" t="s">
        <v>72</v>
      </c>
      <c r="H188" s="4" t="s">
        <v>73</v>
      </c>
      <c r="I188" s="4"/>
      <c r="J188" s="4"/>
      <c r="K188" s="4">
        <v>202</v>
      </c>
      <c r="L188" s="4">
        <v>2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4608071.09</v>
      </c>
      <c r="X188" s="4">
        <v>1</v>
      </c>
      <c r="Y188" s="4">
        <v>4608071.09</v>
      </c>
      <c r="Z188" s="4"/>
      <c r="AA188" s="4"/>
      <c r="AB188" s="4"/>
    </row>
    <row r="189" spans="1:206" ht="13" x14ac:dyDescent="0.3">
      <c r="A189" s="4">
        <v>50</v>
      </c>
      <c r="B189" s="4">
        <v>0</v>
      </c>
      <c r="C189" s="4">
        <v>0</v>
      </c>
      <c r="D189" s="4">
        <v>1</v>
      </c>
      <c r="E189" s="4">
        <v>222</v>
      </c>
      <c r="F189" s="4">
        <f>ROUND(Source!AO185,O189)</f>
        <v>0</v>
      </c>
      <c r="G189" s="4" t="s">
        <v>74</v>
      </c>
      <c r="H189" s="4" t="s">
        <v>75</v>
      </c>
      <c r="I189" s="4"/>
      <c r="J189" s="4"/>
      <c r="K189" s="4">
        <v>222</v>
      </c>
      <c r="L189" s="4">
        <v>3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06" ht="13" x14ac:dyDescent="0.3">
      <c r="A190" s="4">
        <v>50</v>
      </c>
      <c r="B190" s="4">
        <v>0</v>
      </c>
      <c r="C190" s="4">
        <v>0</v>
      </c>
      <c r="D190" s="4">
        <v>1</v>
      </c>
      <c r="E190" s="4">
        <v>225</v>
      </c>
      <c r="F190" s="4">
        <f>ROUND(Source!AV185,O190)</f>
        <v>4608071.09</v>
      </c>
      <c r="G190" s="4" t="s">
        <v>76</v>
      </c>
      <c r="H190" s="4" t="s">
        <v>77</v>
      </c>
      <c r="I190" s="4"/>
      <c r="J190" s="4"/>
      <c r="K190" s="4">
        <v>225</v>
      </c>
      <c r="L190" s="4">
        <v>4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4608071.09</v>
      </c>
      <c r="X190" s="4">
        <v>1</v>
      </c>
      <c r="Y190" s="4">
        <v>4608071.09</v>
      </c>
      <c r="Z190" s="4"/>
      <c r="AA190" s="4"/>
      <c r="AB190" s="4"/>
    </row>
    <row r="191" spans="1:206" ht="13" x14ac:dyDescent="0.3">
      <c r="A191" s="4">
        <v>50</v>
      </c>
      <c r="B191" s="4">
        <v>0</v>
      </c>
      <c r="C191" s="4">
        <v>0</v>
      </c>
      <c r="D191" s="4">
        <v>1</v>
      </c>
      <c r="E191" s="4">
        <v>226</v>
      </c>
      <c r="F191" s="4">
        <f>ROUND(Source!AW185,O191)</f>
        <v>4608071.09</v>
      </c>
      <c r="G191" s="4" t="s">
        <v>78</v>
      </c>
      <c r="H191" s="4" t="s">
        <v>79</v>
      </c>
      <c r="I191" s="4"/>
      <c r="J191" s="4"/>
      <c r="K191" s="4">
        <v>226</v>
      </c>
      <c r="L191" s="4">
        <v>5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4608071.09</v>
      </c>
      <c r="X191" s="4">
        <v>1</v>
      </c>
      <c r="Y191" s="4">
        <v>4608071.09</v>
      </c>
      <c r="Z191" s="4"/>
      <c r="AA191" s="4"/>
      <c r="AB191" s="4"/>
    </row>
    <row r="192" spans="1:206" ht="13" x14ac:dyDescent="0.3">
      <c r="A192" s="4">
        <v>50</v>
      </c>
      <c r="B192" s="4">
        <v>0</v>
      </c>
      <c r="C192" s="4">
        <v>0</v>
      </c>
      <c r="D192" s="4">
        <v>1</v>
      </c>
      <c r="E192" s="4">
        <v>227</v>
      </c>
      <c r="F192" s="4">
        <f>ROUND(Source!AX185,O192)</f>
        <v>0</v>
      </c>
      <c r="G192" s="4" t="s">
        <v>80</v>
      </c>
      <c r="H192" s="4" t="s">
        <v>81</v>
      </c>
      <c r="I192" s="4"/>
      <c r="J192" s="4"/>
      <c r="K192" s="4">
        <v>227</v>
      </c>
      <c r="L192" s="4">
        <v>6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ht="13" x14ac:dyDescent="0.3">
      <c r="A193" s="4">
        <v>50</v>
      </c>
      <c r="B193" s="4">
        <v>0</v>
      </c>
      <c r="C193" s="4">
        <v>0</v>
      </c>
      <c r="D193" s="4">
        <v>1</v>
      </c>
      <c r="E193" s="4">
        <v>228</v>
      </c>
      <c r="F193" s="4">
        <f>ROUND(Source!AY185,O193)</f>
        <v>4608071.09</v>
      </c>
      <c r="G193" s="4" t="s">
        <v>82</v>
      </c>
      <c r="H193" s="4" t="s">
        <v>83</v>
      </c>
      <c r="I193" s="4"/>
      <c r="J193" s="4"/>
      <c r="K193" s="4">
        <v>228</v>
      </c>
      <c r="L193" s="4">
        <v>7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4608071.09</v>
      </c>
      <c r="X193" s="4">
        <v>1</v>
      </c>
      <c r="Y193" s="4">
        <v>4608071.09</v>
      </c>
      <c r="Z193" s="4"/>
      <c r="AA193" s="4"/>
      <c r="AB193" s="4"/>
    </row>
    <row r="194" spans="1:28" ht="13" x14ac:dyDescent="0.3">
      <c r="A194" s="4">
        <v>50</v>
      </c>
      <c r="B194" s="4">
        <v>0</v>
      </c>
      <c r="C194" s="4">
        <v>0</v>
      </c>
      <c r="D194" s="4">
        <v>1</v>
      </c>
      <c r="E194" s="4">
        <v>216</v>
      </c>
      <c r="F194" s="4">
        <f>ROUND(Source!AP185,O194)</f>
        <v>0</v>
      </c>
      <c r="G194" s="4" t="s">
        <v>84</v>
      </c>
      <c r="H194" s="4" t="s">
        <v>85</v>
      </c>
      <c r="I194" s="4"/>
      <c r="J194" s="4"/>
      <c r="K194" s="4">
        <v>216</v>
      </c>
      <c r="L194" s="4">
        <v>8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ht="13" x14ac:dyDescent="0.3">
      <c r="A195" s="4">
        <v>50</v>
      </c>
      <c r="B195" s="4">
        <v>0</v>
      </c>
      <c r="C195" s="4">
        <v>0</v>
      </c>
      <c r="D195" s="4">
        <v>1</v>
      </c>
      <c r="E195" s="4">
        <v>223</v>
      </c>
      <c r="F195" s="4">
        <f>ROUND(Source!AQ185,O195)</f>
        <v>0</v>
      </c>
      <c r="G195" s="4" t="s">
        <v>86</v>
      </c>
      <c r="H195" s="4" t="s">
        <v>87</v>
      </c>
      <c r="I195" s="4"/>
      <c r="J195" s="4"/>
      <c r="K195" s="4">
        <v>223</v>
      </c>
      <c r="L195" s="4">
        <v>9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ht="13" x14ac:dyDescent="0.3">
      <c r="A196" s="4">
        <v>50</v>
      </c>
      <c r="B196" s="4">
        <v>0</v>
      </c>
      <c r="C196" s="4">
        <v>0</v>
      </c>
      <c r="D196" s="4">
        <v>1</v>
      </c>
      <c r="E196" s="4">
        <v>229</v>
      </c>
      <c r="F196" s="4">
        <f>ROUND(Source!AZ185,O196)</f>
        <v>0</v>
      </c>
      <c r="G196" s="4" t="s">
        <v>88</v>
      </c>
      <c r="H196" s="4" t="s">
        <v>89</v>
      </c>
      <c r="I196" s="4"/>
      <c r="J196" s="4"/>
      <c r="K196" s="4">
        <v>229</v>
      </c>
      <c r="L196" s="4">
        <v>10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ht="13" x14ac:dyDescent="0.3">
      <c r="A197" s="4">
        <v>50</v>
      </c>
      <c r="B197" s="4">
        <v>0</v>
      </c>
      <c r="C197" s="4">
        <v>0</v>
      </c>
      <c r="D197" s="4">
        <v>1</v>
      </c>
      <c r="E197" s="4">
        <v>203</v>
      </c>
      <c r="F197" s="4">
        <f>ROUND(Source!Q185,O197)</f>
        <v>41758623.619999997</v>
      </c>
      <c r="G197" s="4" t="s">
        <v>90</v>
      </c>
      <c r="H197" s="4" t="s">
        <v>91</v>
      </c>
      <c r="I197" s="4"/>
      <c r="J197" s="4"/>
      <c r="K197" s="4">
        <v>203</v>
      </c>
      <c r="L197" s="4">
        <v>11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41758623.619999997</v>
      </c>
      <c r="X197" s="4">
        <v>1</v>
      </c>
      <c r="Y197" s="4">
        <v>41758623.619999997</v>
      </c>
      <c r="Z197" s="4"/>
      <c r="AA197" s="4"/>
      <c r="AB197" s="4"/>
    </row>
    <row r="198" spans="1:28" ht="13" x14ac:dyDescent="0.3">
      <c r="A198" s="4">
        <v>50</v>
      </c>
      <c r="B198" s="4">
        <v>0</v>
      </c>
      <c r="C198" s="4">
        <v>0</v>
      </c>
      <c r="D198" s="4">
        <v>1</v>
      </c>
      <c r="E198" s="4">
        <v>231</v>
      </c>
      <c r="F198" s="4">
        <f>ROUND(Source!BB185,O198)</f>
        <v>0</v>
      </c>
      <c r="G198" s="4" t="s">
        <v>92</v>
      </c>
      <c r="H198" s="4" t="s">
        <v>93</v>
      </c>
      <c r="I198" s="4"/>
      <c r="J198" s="4"/>
      <c r="K198" s="4">
        <v>231</v>
      </c>
      <c r="L198" s="4">
        <v>12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ht="13" x14ac:dyDescent="0.3">
      <c r="A199" s="4">
        <v>50</v>
      </c>
      <c r="B199" s="4">
        <v>0</v>
      </c>
      <c r="C199" s="4">
        <v>0</v>
      </c>
      <c r="D199" s="4">
        <v>1</v>
      </c>
      <c r="E199" s="4">
        <v>204</v>
      </c>
      <c r="F199" s="4">
        <f>ROUND(Source!R185,O199)</f>
        <v>18658006.329999998</v>
      </c>
      <c r="G199" s="4" t="s">
        <v>94</v>
      </c>
      <c r="H199" s="4" t="s">
        <v>95</v>
      </c>
      <c r="I199" s="4"/>
      <c r="J199" s="4"/>
      <c r="K199" s="4">
        <v>204</v>
      </c>
      <c r="L199" s="4">
        <v>13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18658006.329999998</v>
      </c>
      <c r="X199" s="4">
        <v>1</v>
      </c>
      <c r="Y199" s="4">
        <v>18658006.329999998</v>
      </c>
      <c r="Z199" s="4"/>
      <c r="AA199" s="4"/>
      <c r="AB199" s="4"/>
    </row>
    <row r="200" spans="1:28" ht="13" x14ac:dyDescent="0.3">
      <c r="A200" s="4">
        <v>50</v>
      </c>
      <c r="B200" s="4">
        <v>0</v>
      </c>
      <c r="C200" s="4">
        <v>0</v>
      </c>
      <c r="D200" s="4">
        <v>1</v>
      </c>
      <c r="E200" s="4">
        <v>205</v>
      </c>
      <c r="F200" s="4">
        <f>ROUND(Source!S185,O200)</f>
        <v>18856617.530000001</v>
      </c>
      <c r="G200" s="4" t="s">
        <v>96</v>
      </c>
      <c r="H200" s="4" t="s">
        <v>97</v>
      </c>
      <c r="I200" s="4"/>
      <c r="J200" s="4"/>
      <c r="K200" s="4">
        <v>205</v>
      </c>
      <c r="L200" s="4">
        <v>14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18856617.530000001</v>
      </c>
      <c r="X200" s="4">
        <v>1</v>
      </c>
      <c r="Y200" s="4">
        <v>18856617.530000001</v>
      </c>
      <c r="Z200" s="4"/>
      <c r="AA200" s="4"/>
      <c r="AB200" s="4"/>
    </row>
    <row r="201" spans="1:28" ht="13" x14ac:dyDescent="0.3">
      <c r="A201" s="4">
        <v>50</v>
      </c>
      <c r="B201" s="4">
        <v>0</v>
      </c>
      <c r="C201" s="4">
        <v>0</v>
      </c>
      <c r="D201" s="4">
        <v>1</v>
      </c>
      <c r="E201" s="4">
        <v>232</v>
      </c>
      <c r="F201" s="4">
        <f>ROUND(Source!BC185,O201)</f>
        <v>0</v>
      </c>
      <c r="G201" s="4" t="s">
        <v>98</v>
      </c>
      <c r="H201" s="4" t="s">
        <v>99</v>
      </c>
      <c r="I201" s="4"/>
      <c r="J201" s="4"/>
      <c r="K201" s="4">
        <v>232</v>
      </c>
      <c r="L201" s="4">
        <v>15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ht="13" x14ac:dyDescent="0.3">
      <c r="A202" s="4">
        <v>50</v>
      </c>
      <c r="B202" s="4">
        <v>0</v>
      </c>
      <c r="C202" s="4">
        <v>0</v>
      </c>
      <c r="D202" s="4">
        <v>1</v>
      </c>
      <c r="E202" s="4">
        <v>214</v>
      </c>
      <c r="F202" s="4">
        <f>ROUND(Source!AS185,O202)</f>
        <v>0</v>
      </c>
      <c r="G202" s="4" t="s">
        <v>100</v>
      </c>
      <c r="H202" s="4" t="s">
        <v>101</v>
      </c>
      <c r="I202" s="4"/>
      <c r="J202" s="4"/>
      <c r="K202" s="4">
        <v>214</v>
      </c>
      <c r="L202" s="4">
        <v>16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ht="13" x14ac:dyDescent="0.3">
      <c r="A203" s="4">
        <v>50</v>
      </c>
      <c r="B203" s="4">
        <v>0</v>
      </c>
      <c r="C203" s="4">
        <v>0</v>
      </c>
      <c r="D203" s="4">
        <v>1</v>
      </c>
      <c r="E203" s="4">
        <v>215</v>
      </c>
      <c r="F203" s="4">
        <f>ROUND(Source!AT185,O203)</f>
        <v>0</v>
      </c>
      <c r="G203" s="4" t="s">
        <v>102</v>
      </c>
      <c r="H203" s="4" t="s">
        <v>103</v>
      </c>
      <c r="I203" s="4"/>
      <c r="J203" s="4"/>
      <c r="K203" s="4">
        <v>215</v>
      </c>
      <c r="L203" s="4">
        <v>17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ht="13" x14ac:dyDescent="0.3">
      <c r="A204" s="4">
        <v>50</v>
      </c>
      <c r="B204" s="4">
        <v>0</v>
      </c>
      <c r="C204" s="4">
        <v>0</v>
      </c>
      <c r="D204" s="4">
        <v>1</v>
      </c>
      <c r="E204" s="4">
        <v>217</v>
      </c>
      <c r="F204" s="4">
        <f>ROUND(Source!AU185,O204)</f>
        <v>100459253.09999999</v>
      </c>
      <c r="G204" s="4" t="s">
        <v>104</v>
      </c>
      <c r="H204" s="4" t="s">
        <v>105</v>
      </c>
      <c r="I204" s="4"/>
      <c r="J204" s="4"/>
      <c r="K204" s="4">
        <v>217</v>
      </c>
      <c r="L204" s="4">
        <v>18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100459253.09999999</v>
      </c>
      <c r="X204" s="4">
        <v>1</v>
      </c>
      <c r="Y204" s="4">
        <v>100459253.09999999</v>
      </c>
      <c r="Z204" s="4"/>
      <c r="AA204" s="4"/>
      <c r="AB204" s="4"/>
    </row>
    <row r="205" spans="1:28" ht="13" x14ac:dyDescent="0.3">
      <c r="A205" s="4">
        <v>50</v>
      </c>
      <c r="B205" s="4">
        <v>0</v>
      </c>
      <c r="C205" s="4">
        <v>0</v>
      </c>
      <c r="D205" s="4">
        <v>1</v>
      </c>
      <c r="E205" s="4">
        <v>230</v>
      </c>
      <c r="F205" s="4">
        <f>ROUND(Source!BA185,O205)</f>
        <v>0</v>
      </c>
      <c r="G205" s="4" t="s">
        <v>106</v>
      </c>
      <c r="H205" s="4" t="s">
        <v>107</v>
      </c>
      <c r="I205" s="4"/>
      <c r="J205" s="4"/>
      <c r="K205" s="4">
        <v>230</v>
      </c>
      <c r="L205" s="4">
        <v>19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ht="13" x14ac:dyDescent="0.3">
      <c r="A206" s="4">
        <v>50</v>
      </c>
      <c r="B206" s="4">
        <v>0</v>
      </c>
      <c r="C206" s="4">
        <v>0</v>
      </c>
      <c r="D206" s="4">
        <v>1</v>
      </c>
      <c r="E206" s="4">
        <v>206</v>
      </c>
      <c r="F206" s="4">
        <f>ROUND(Source!T185,O206)</f>
        <v>0</v>
      </c>
      <c r="G206" s="4" t="s">
        <v>108</v>
      </c>
      <c r="H206" s="4" t="s">
        <v>109</v>
      </c>
      <c r="I206" s="4"/>
      <c r="J206" s="4"/>
      <c r="K206" s="4">
        <v>206</v>
      </c>
      <c r="L206" s="4">
        <v>20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ht="13" x14ac:dyDescent="0.3">
      <c r="A207" s="4">
        <v>50</v>
      </c>
      <c r="B207" s="4">
        <v>0</v>
      </c>
      <c r="C207" s="4">
        <v>0</v>
      </c>
      <c r="D207" s="4">
        <v>1</v>
      </c>
      <c r="E207" s="4">
        <v>207</v>
      </c>
      <c r="F207" s="4">
        <f>Source!U185</f>
        <v>41819.844603999998</v>
      </c>
      <c r="G207" s="4" t="s">
        <v>110</v>
      </c>
      <c r="H207" s="4" t="s">
        <v>111</v>
      </c>
      <c r="I207" s="4"/>
      <c r="J207" s="4"/>
      <c r="K207" s="4">
        <v>207</v>
      </c>
      <c r="L207" s="4">
        <v>21</v>
      </c>
      <c r="M207" s="4">
        <v>3</v>
      </c>
      <c r="N207" s="4" t="s">
        <v>3</v>
      </c>
      <c r="O207" s="4">
        <v>-1</v>
      </c>
      <c r="P207" s="4"/>
      <c r="Q207" s="4"/>
      <c r="R207" s="4"/>
      <c r="S207" s="4"/>
      <c r="T207" s="4"/>
      <c r="U207" s="4"/>
      <c r="V207" s="4"/>
      <c r="W207" s="4">
        <v>41819.844604000005</v>
      </c>
      <c r="X207" s="4">
        <v>1</v>
      </c>
      <c r="Y207" s="4">
        <v>41819.844604000005</v>
      </c>
      <c r="Z207" s="4"/>
      <c r="AA207" s="4"/>
      <c r="AB207" s="4"/>
    </row>
    <row r="208" spans="1:28" ht="13" x14ac:dyDescent="0.3">
      <c r="A208" s="4">
        <v>50</v>
      </c>
      <c r="B208" s="4">
        <v>0</v>
      </c>
      <c r="C208" s="4">
        <v>0</v>
      </c>
      <c r="D208" s="4">
        <v>1</v>
      </c>
      <c r="E208" s="4">
        <v>208</v>
      </c>
      <c r="F208" s="4">
        <f>Source!V185</f>
        <v>0</v>
      </c>
      <c r="G208" s="4" t="s">
        <v>112</v>
      </c>
      <c r="H208" s="4" t="s">
        <v>113</v>
      </c>
      <c r="I208" s="4"/>
      <c r="J208" s="4"/>
      <c r="K208" s="4">
        <v>208</v>
      </c>
      <c r="L208" s="4">
        <v>22</v>
      </c>
      <c r="M208" s="4">
        <v>3</v>
      </c>
      <c r="N208" s="4" t="s">
        <v>3</v>
      </c>
      <c r="O208" s="4">
        <v>-1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06" ht="13" x14ac:dyDescent="0.3">
      <c r="A209" s="4">
        <v>50</v>
      </c>
      <c r="B209" s="4">
        <v>0</v>
      </c>
      <c r="C209" s="4">
        <v>0</v>
      </c>
      <c r="D209" s="4">
        <v>1</v>
      </c>
      <c r="E209" s="4">
        <v>209</v>
      </c>
      <c r="F209" s="4">
        <f>ROUND(Source!W185,O209)</f>
        <v>0</v>
      </c>
      <c r="G209" s="4" t="s">
        <v>114</v>
      </c>
      <c r="H209" s="4" t="s">
        <v>115</v>
      </c>
      <c r="I209" s="4"/>
      <c r="J209" s="4"/>
      <c r="K209" s="4">
        <v>209</v>
      </c>
      <c r="L209" s="4">
        <v>23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06" ht="13" x14ac:dyDescent="0.3">
      <c r="A210" s="4">
        <v>50</v>
      </c>
      <c r="B210" s="4">
        <v>0</v>
      </c>
      <c r="C210" s="4">
        <v>0</v>
      </c>
      <c r="D210" s="4">
        <v>1</v>
      </c>
      <c r="E210" s="4">
        <v>233</v>
      </c>
      <c r="F210" s="4">
        <f>ROUND(Source!BD185,O210)</f>
        <v>0</v>
      </c>
      <c r="G210" s="4" t="s">
        <v>116</v>
      </c>
      <c r="H210" s="4" t="s">
        <v>117</v>
      </c>
      <c r="I210" s="4"/>
      <c r="J210" s="4"/>
      <c r="K210" s="4">
        <v>233</v>
      </c>
      <c r="L210" s="4">
        <v>24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06" ht="13" x14ac:dyDescent="0.3">
      <c r="A211" s="4">
        <v>50</v>
      </c>
      <c r="B211" s="4">
        <v>0</v>
      </c>
      <c r="C211" s="4">
        <v>0</v>
      </c>
      <c r="D211" s="4">
        <v>1</v>
      </c>
      <c r="E211" s="4">
        <v>210</v>
      </c>
      <c r="F211" s="4">
        <f>ROUND(Source!X185,O211)</f>
        <v>13199632.27</v>
      </c>
      <c r="G211" s="4" t="s">
        <v>118</v>
      </c>
      <c r="H211" s="4" t="s">
        <v>119</v>
      </c>
      <c r="I211" s="4"/>
      <c r="J211" s="4"/>
      <c r="K211" s="4">
        <v>210</v>
      </c>
      <c r="L211" s="4">
        <v>25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13199632.27</v>
      </c>
      <c r="X211" s="4">
        <v>1</v>
      </c>
      <c r="Y211" s="4">
        <v>13199632.27</v>
      </c>
      <c r="Z211" s="4"/>
      <c r="AA211" s="4"/>
      <c r="AB211" s="4"/>
    </row>
    <row r="212" spans="1:206" ht="13" x14ac:dyDescent="0.3">
      <c r="A212" s="4">
        <v>50</v>
      </c>
      <c r="B212" s="4">
        <v>0</v>
      </c>
      <c r="C212" s="4">
        <v>0</v>
      </c>
      <c r="D212" s="4">
        <v>1</v>
      </c>
      <c r="E212" s="4">
        <v>211</v>
      </c>
      <c r="F212" s="4">
        <f>ROUND(Source!Y185,O212)</f>
        <v>1885661.77</v>
      </c>
      <c r="G212" s="4" t="s">
        <v>120</v>
      </c>
      <c r="H212" s="4" t="s">
        <v>121</v>
      </c>
      <c r="I212" s="4"/>
      <c r="J212" s="4"/>
      <c r="K212" s="4">
        <v>211</v>
      </c>
      <c r="L212" s="4">
        <v>26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1885661.77</v>
      </c>
      <c r="X212" s="4">
        <v>1</v>
      </c>
      <c r="Y212" s="4">
        <v>1885661.77</v>
      </c>
      <c r="Z212" s="4"/>
      <c r="AA212" s="4"/>
      <c r="AB212" s="4"/>
    </row>
    <row r="213" spans="1:206" ht="13" x14ac:dyDescent="0.3">
      <c r="A213" s="4">
        <v>50</v>
      </c>
      <c r="B213" s="4">
        <v>0</v>
      </c>
      <c r="C213" s="4">
        <v>0</v>
      </c>
      <c r="D213" s="4">
        <v>1</v>
      </c>
      <c r="E213" s="4">
        <v>224</v>
      </c>
      <c r="F213" s="4">
        <f>ROUND(Source!AR185,O213)</f>
        <v>100459253.09999999</v>
      </c>
      <c r="G213" s="4" t="s">
        <v>122</v>
      </c>
      <c r="H213" s="4" t="s">
        <v>123</v>
      </c>
      <c r="I213" s="4"/>
      <c r="J213" s="4"/>
      <c r="K213" s="4">
        <v>224</v>
      </c>
      <c r="L213" s="4">
        <v>27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100459253.09999999</v>
      </c>
      <c r="X213" s="4">
        <v>1</v>
      </c>
      <c r="Y213" s="4">
        <v>100459253.09999999</v>
      </c>
      <c r="Z213" s="4"/>
      <c r="AA213" s="4"/>
      <c r="AB213" s="4"/>
    </row>
    <row r="214" spans="1:206" ht="13" x14ac:dyDescent="0.3">
      <c r="A214" s="4">
        <v>50</v>
      </c>
      <c r="B214" s="4">
        <v>1</v>
      </c>
      <c r="C214" s="4">
        <v>0</v>
      </c>
      <c r="D214" s="4">
        <v>2</v>
      </c>
      <c r="E214" s="4">
        <v>0</v>
      </c>
      <c r="F214" s="4">
        <f>ROUND(F213*0.22,O214)</f>
        <v>22101035.68</v>
      </c>
      <c r="G214" s="4" t="s">
        <v>3</v>
      </c>
      <c r="H214" s="4" t="s">
        <v>249</v>
      </c>
      <c r="I214" s="4"/>
      <c r="J214" s="4"/>
      <c r="K214" s="4">
        <v>212</v>
      </c>
      <c r="L214" s="4">
        <v>28</v>
      </c>
      <c r="M214" s="4">
        <v>0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20091850.620000001</v>
      </c>
      <c r="X214" s="4">
        <v>1</v>
      </c>
      <c r="Y214" s="4">
        <v>20091850.620000001</v>
      </c>
      <c r="Z214" s="4"/>
      <c r="AA214" s="4"/>
      <c r="AB214" s="4"/>
    </row>
    <row r="215" spans="1:206" ht="13" x14ac:dyDescent="0.3">
      <c r="A215" s="4">
        <v>50</v>
      </c>
      <c r="B215" s="4">
        <v>1</v>
      </c>
      <c r="C215" s="4">
        <v>0</v>
      </c>
      <c r="D215" s="4">
        <v>2</v>
      </c>
      <c r="E215" s="4">
        <v>0</v>
      </c>
      <c r="F215" s="4">
        <f>ROUND(F213*1.2,O215)</f>
        <v>120551103.72</v>
      </c>
      <c r="G215" s="4" t="s">
        <v>3</v>
      </c>
      <c r="H215" s="4" t="s">
        <v>153</v>
      </c>
      <c r="I215" s="4"/>
      <c r="J215" s="4"/>
      <c r="K215" s="4">
        <v>212</v>
      </c>
      <c r="L215" s="4">
        <v>29</v>
      </c>
      <c r="M215" s="4">
        <v>0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120551103.72</v>
      </c>
      <c r="X215" s="4">
        <v>1</v>
      </c>
      <c r="Y215" s="4">
        <v>120551103.72</v>
      </c>
      <c r="Z215" s="4"/>
      <c r="AA215" s="4"/>
      <c r="AB215" s="4"/>
    </row>
    <row r="217" spans="1:206" ht="13" x14ac:dyDescent="0.3">
      <c r="A217" s="2">
        <v>51</v>
      </c>
      <c r="B217" s="2">
        <f>B12</f>
        <v>253</v>
      </c>
      <c r="C217" s="2">
        <f>A12</f>
        <v>1</v>
      </c>
      <c r="D217" s="2">
        <f>ROW(A12)</f>
        <v>12</v>
      </c>
      <c r="E217" s="2"/>
      <c r="F217" s="2" t="str">
        <f>IF(F12&lt;&gt;"",F12,"")</f>
        <v>Новый объект</v>
      </c>
      <c r="G217" s="2" t="str">
        <f>IF(G12&lt;&gt;"",G12,"")</f>
        <v>Зона 4</v>
      </c>
      <c r="H217" s="2">
        <v>0</v>
      </c>
      <c r="I217" s="2"/>
      <c r="J217" s="2"/>
      <c r="K217" s="2"/>
      <c r="L217" s="2"/>
      <c r="M217" s="2"/>
      <c r="N217" s="2"/>
      <c r="O217" s="2">
        <f t="shared" ref="O217:T217" si="120">ROUND(O185,2)</f>
        <v>65223312.240000002</v>
      </c>
      <c r="P217" s="2">
        <f t="shared" si="120"/>
        <v>4608071.09</v>
      </c>
      <c r="Q217" s="2">
        <f t="shared" si="120"/>
        <v>41758623.619999997</v>
      </c>
      <c r="R217" s="2">
        <f t="shared" si="120"/>
        <v>18658006.329999998</v>
      </c>
      <c r="S217" s="2">
        <f t="shared" si="120"/>
        <v>18856617.530000001</v>
      </c>
      <c r="T217" s="2">
        <f t="shared" si="120"/>
        <v>0</v>
      </c>
      <c r="U217" s="2">
        <f>U185</f>
        <v>41819.844603999998</v>
      </c>
      <c r="V217" s="2">
        <f>V185</f>
        <v>0</v>
      </c>
      <c r="W217" s="2">
        <f>ROUND(W185,2)</f>
        <v>0</v>
      </c>
      <c r="X217" s="2">
        <f>ROUND(X185,2)</f>
        <v>13199632.27</v>
      </c>
      <c r="Y217" s="2">
        <f>ROUND(Y185,2)</f>
        <v>1885661.77</v>
      </c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>
        <f t="shared" ref="AO217:BD217" si="121">ROUND(AO185,2)</f>
        <v>0</v>
      </c>
      <c r="AP217" s="2">
        <f t="shared" si="121"/>
        <v>0</v>
      </c>
      <c r="AQ217" s="2">
        <f t="shared" si="121"/>
        <v>0</v>
      </c>
      <c r="AR217" s="2">
        <f t="shared" si="121"/>
        <v>100459253.09999999</v>
      </c>
      <c r="AS217" s="2">
        <f t="shared" si="121"/>
        <v>0</v>
      </c>
      <c r="AT217" s="2">
        <f t="shared" si="121"/>
        <v>0</v>
      </c>
      <c r="AU217" s="2">
        <f t="shared" si="121"/>
        <v>100459253.09999999</v>
      </c>
      <c r="AV217" s="2">
        <f t="shared" si="121"/>
        <v>4608071.09</v>
      </c>
      <c r="AW217" s="2">
        <f t="shared" si="121"/>
        <v>4608071.09</v>
      </c>
      <c r="AX217" s="2">
        <f t="shared" si="121"/>
        <v>0</v>
      </c>
      <c r="AY217" s="2">
        <f t="shared" si="121"/>
        <v>4608071.09</v>
      </c>
      <c r="AZ217" s="2">
        <f t="shared" si="121"/>
        <v>0</v>
      </c>
      <c r="BA217" s="2">
        <f t="shared" si="121"/>
        <v>0</v>
      </c>
      <c r="BB217" s="2">
        <f t="shared" si="121"/>
        <v>0</v>
      </c>
      <c r="BC217" s="2">
        <f t="shared" si="121"/>
        <v>0</v>
      </c>
      <c r="BD217" s="2">
        <f t="shared" si="121"/>
        <v>0</v>
      </c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  <c r="FC217" s="3"/>
      <c r="FD217" s="3"/>
      <c r="FE217" s="3"/>
      <c r="FF217" s="3"/>
      <c r="FG217" s="3"/>
      <c r="FH217" s="3"/>
      <c r="FI217" s="3"/>
      <c r="FJ217" s="3"/>
      <c r="FK217" s="3"/>
      <c r="FL217" s="3"/>
      <c r="FM217" s="3"/>
      <c r="FN217" s="3"/>
      <c r="FO217" s="3"/>
      <c r="FP217" s="3"/>
      <c r="FQ217" s="3"/>
      <c r="FR217" s="3"/>
      <c r="FS217" s="3"/>
      <c r="FT217" s="3"/>
      <c r="FU217" s="3"/>
      <c r="FV217" s="3"/>
      <c r="FW217" s="3"/>
      <c r="FX217" s="3"/>
      <c r="FY217" s="3"/>
      <c r="FZ217" s="3"/>
      <c r="GA217" s="3"/>
      <c r="GB217" s="3"/>
      <c r="GC217" s="3"/>
      <c r="GD217" s="3"/>
      <c r="GE217" s="3"/>
      <c r="GF217" s="3"/>
      <c r="GG217" s="3"/>
      <c r="GH217" s="3"/>
      <c r="GI217" s="3"/>
      <c r="GJ217" s="3"/>
      <c r="GK217" s="3"/>
      <c r="GL217" s="3"/>
      <c r="GM217" s="3"/>
      <c r="GN217" s="3"/>
      <c r="GO217" s="3"/>
      <c r="GP217" s="3"/>
      <c r="GQ217" s="3"/>
      <c r="GR217" s="3"/>
      <c r="GS217" s="3"/>
      <c r="GT217" s="3"/>
      <c r="GU217" s="3"/>
      <c r="GV217" s="3"/>
      <c r="GW217" s="3"/>
      <c r="GX217" s="3">
        <v>0</v>
      </c>
    </row>
    <row r="219" spans="1:206" ht="13" x14ac:dyDescent="0.3">
      <c r="A219" s="4">
        <v>50</v>
      </c>
      <c r="B219" s="4">
        <v>0</v>
      </c>
      <c r="C219" s="4">
        <v>0</v>
      </c>
      <c r="D219" s="4">
        <v>1</v>
      </c>
      <c r="E219" s="4">
        <v>201</v>
      </c>
      <c r="F219" s="4">
        <f>ROUND(Source!O217,O219)</f>
        <v>65223312.240000002</v>
      </c>
      <c r="G219" s="4" t="s">
        <v>70</v>
      </c>
      <c r="H219" s="4" t="s">
        <v>71</v>
      </c>
      <c r="I219" s="4"/>
      <c r="J219" s="4"/>
      <c r="K219" s="4">
        <v>201</v>
      </c>
      <c r="L219" s="4">
        <v>1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65223312.240000002</v>
      </c>
      <c r="X219" s="4">
        <v>1</v>
      </c>
      <c r="Y219" s="4">
        <v>65223312.240000002</v>
      </c>
      <c r="Z219" s="4"/>
      <c r="AA219" s="4"/>
      <c r="AB219" s="4"/>
    </row>
    <row r="220" spans="1:206" ht="13" x14ac:dyDescent="0.3">
      <c r="A220" s="4">
        <v>50</v>
      </c>
      <c r="B220" s="4">
        <v>0</v>
      </c>
      <c r="C220" s="4">
        <v>0</v>
      </c>
      <c r="D220" s="4">
        <v>1</v>
      </c>
      <c r="E220" s="4">
        <v>202</v>
      </c>
      <c r="F220" s="4">
        <f>ROUND(Source!P217,O220)</f>
        <v>4608071.09</v>
      </c>
      <c r="G220" s="4" t="s">
        <v>72</v>
      </c>
      <c r="H220" s="4" t="s">
        <v>73</v>
      </c>
      <c r="I220" s="4"/>
      <c r="J220" s="4"/>
      <c r="K220" s="4">
        <v>202</v>
      </c>
      <c r="L220" s="4">
        <v>2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4608071.09</v>
      </c>
      <c r="X220" s="4">
        <v>1</v>
      </c>
      <c r="Y220" s="4">
        <v>4608071.09</v>
      </c>
      <c r="Z220" s="4"/>
      <c r="AA220" s="4"/>
      <c r="AB220" s="4"/>
    </row>
    <row r="221" spans="1:206" ht="13" x14ac:dyDescent="0.3">
      <c r="A221" s="4">
        <v>50</v>
      </c>
      <c r="B221" s="4">
        <v>0</v>
      </c>
      <c r="C221" s="4">
        <v>0</v>
      </c>
      <c r="D221" s="4">
        <v>1</v>
      </c>
      <c r="E221" s="4">
        <v>222</v>
      </c>
      <c r="F221" s="4">
        <f>ROUND(Source!AO217,O221)</f>
        <v>0</v>
      </c>
      <c r="G221" s="4" t="s">
        <v>74</v>
      </c>
      <c r="H221" s="4" t="s">
        <v>75</v>
      </c>
      <c r="I221" s="4"/>
      <c r="J221" s="4"/>
      <c r="K221" s="4">
        <v>222</v>
      </c>
      <c r="L221" s="4">
        <v>3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06" ht="13" x14ac:dyDescent="0.3">
      <c r="A222" s="4">
        <v>50</v>
      </c>
      <c r="B222" s="4">
        <v>0</v>
      </c>
      <c r="C222" s="4">
        <v>0</v>
      </c>
      <c r="D222" s="4">
        <v>1</v>
      </c>
      <c r="E222" s="4">
        <v>225</v>
      </c>
      <c r="F222" s="4">
        <f>ROUND(Source!AV217,O222)</f>
        <v>4608071.09</v>
      </c>
      <c r="G222" s="4" t="s">
        <v>76</v>
      </c>
      <c r="H222" s="4" t="s">
        <v>77</v>
      </c>
      <c r="I222" s="4"/>
      <c r="J222" s="4"/>
      <c r="K222" s="4">
        <v>225</v>
      </c>
      <c r="L222" s="4">
        <v>4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4608071.09</v>
      </c>
      <c r="X222" s="4">
        <v>1</v>
      </c>
      <c r="Y222" s="4">
        <v>4608071.09</v>
      </c>
      <c r="Z222" s="4"/>
      <c r="AA222" s="4"/>
      <c r="AB222" s="4"/>
    </row>
    <row r="223" spans="1:206" ht="13" x14ac:dyDescent="0.3">
      <c r="A223" s="4">
        <v>50</v>
      </c>
      <c r="B223" s="4">
        <v>0</v>
      </c>
      <c r="C223" s="4">
        <v>0</v>
      </c>
      <c r="D223" s="4">
        <v>1</v>
      </c>
      <c r="E223" s="4">
        <v>226</v>
      </c>
      <c r="F223" s="4">
        <f>ROUND(Source!AW217,O223)</f>
        <v>4608071.09</v>
      </c>
      <c r="G223" s="4" t="s">
        <v>78</v>
      </c>
      <c r="H223" s="4" t="s">
        <v>79</v>
      </c>
      <c r="I223" s="4"/>
      <c r="J223" s="4"/>
      <c r="K223" s="4">
        <v>226</v>
      </c>
      <c r="L223" s="4">
        <v>5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4608071.09</v>
      </c>
      <c r="X223" s="4">
        <v>1</v>
      </c>
      <c r="Y223" s="4">
        <v>4608071.09</v>
      </c>
      <c r="Z223" s="4"/>
      <c r="AA223" s="4"/>
      <c r="AB223" s="4"/>
    </row>
    <row r="224" spans="1:206" ht="13" x14ac:dyDescent="0.3">
      <c r="A224" s="4">
        <v>50</v>
      </c>
      <c r="B224" s="4">
        <v>0</v>
      </c>
      <c r="C224" s="4">
        <v>0</v>
      </c>
      <c r="D224" s="4">
        <v>1</v>
      </c>
      <c r="E224" s="4">
        <v>227</v>
      </c>
      <c r="F224" s="4">
        <f>ROUND(Source!AX217,O224)</f>
        <v>0</v>
      </c>
      <c r="G224" s="4" t="s">
        <v>80</v>
      </c>
      <c r="H224" s="4" t="s">
        <v>81</v>
      </c>
      <c r="I224" s="4"/>
      <c r="J224" s="4"/>
      <c r="K224" s="4">
        <v>227</v>
      </c>
      <c r="L224" s="4">
        <v>6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8" ht="13" x14ac:dyDescent="0.3">
      <c r="A225" s="4">
        <v>50</v>
      </c>
      <c r="B225" s="4">
        <v>0</v>
      </c>
      <c r="C225" s="4">
        <v>0</v>
      </c>
      <c r="D225" s="4">
        <v>1</v>
      </c>
      <c r="E225" s="4">
        <v>228</v>
      </c>
      <c r="F225" s="4">
        <f>ROUND(Source!AY217,O225)</f>
        <v>4608071.09</v>
      </c>
      <c r="G225" s="4" t="s">
        <v>82</v>
      </c>
      <c r="H225" s="4" t="s">
        <v>83</v>
      </c>
      <c r="I225" s="4"/>
      <c r="J225" s="4"/>
      <c r="K225" s="4">
        <v>228</v>
      </c>
      <c r="L225" s="4">
        <v>7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4608071.09</v>
      </c>
      <c r="X225" s="4">
        <v>1</v>
      </c>
      <c r="Y225" s="4">
        <v>4608071.09</v>
      </c>
      <c r="Z225" s="4"/>
      <c r="AA225" s="4"/>
      <c r="AB225" s="4"/>
    </row>
    <row r="226" spans="1:28" ht="13" x14ac:dyDescent="0.3">
      <c r="A226" s="4">
        <v>50</v>
      </c>
      <c r="B226" s="4">
        <v>0</v>
      </c>
      <c r="C226" s="4">
        <v>0</v>
      </c>
      <c r="D226" s="4">
        <v>1</v>
      </c>
      <c r="E226" s="4">
        <v>216</v>
      </c>
      <c r="F226" s="4">
        <f>ROUND(Source!AP217,O226)</f>
        <v>0</v>
      </c>
      <c r="G226" s="4" t="s">
        <v>84</v>
      </c>
      <c r="H226" s="4" t="s">
        <v>85</v>
      </c>
      <c r="I226" s="4"/>
      <c r="J226" s="4"/>
      <c r="K226" s="4">
        <v>216</v>
      </c>
      <c r="L226" s="4">
        <v>8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ht="13" x14ac:dyDescent="0.3">
      <c r="A227" s="4">
        <v>50</v>
      </c>
      <c r="B227" s="4">
        <v>0</v>
      </c>
      <c r="C227" s="4">
        <v>0</v>
      </c>
      <c r="D227" s="4">
        <v>1</v>
      </c>
      <c r="E227" s="4">
        <v>223</v>
      </c>
      <c r="F227" s="4">
        <f>ROUND(Source!AQ217,O227)</f>
        <v>0</v>
      </c>
      <c r="G227" s="4" t="s">
        <v>86</v>
      </c>
      <c r="H227" s="4" t="s">
        <v>87</v>
      </c>
      <c r="I227" s="4"/>
      <c r="J227" s="4"/>
      <c r="K227" s="4">
        <v>223</v>
      </c>
      <c r="L227" s="4">
        <v>9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8" ht="13" x14ac:dyDescent="0.3">
      <c r="A228" s="4">
        <v>50</v>
      </c>
      <c r="B228" s="4">
        <v>0</v>
      </c>
      <c r="C228" s="4">
        <v>0</v>
      </c>
      <c r="D228" s="4">
        <v>1</v>
      </c>
      <c r="E228" s="4">
        <v>229</v>
      </c>
      <c r="F228" s="4">
        <f>ROUND(Source!AZ217,O228)</f>
        <v>0</v>
      </c>
      <c r="G228" s="4" t="s">
        <v>88</v>
      </c>
      <c r="H228" s="4" t="s">
        <v>89</v>
      </c>
      <c r="I228" s="4"/>
      <c r="J228" s="4"/>
      <c r="K228" s="4">
        <v>229</v>
      </c>
      <c r="L228" s="4">
        <v>10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8" ht="13" x14ac:dyDescent="0.3">
      <c r="A229" s="4">
        <v>50</v>
      </c>
      <c r="B229" s="4">
        <v>0</v>
      </c>
      <c r="C229" s="4">
        <v>0</v>
      </c>
      <c r="D229" s="4">
        <v>1</v>
      </c>
      <c r="E229" s="4">
        <v>203</v>
      </c>
      <c r="F229" s="4">
        <f>ROUND(Source!Q217,O229)</f>
        <v>41758623.619999997</v>
      </c>
      <c r="G229" s="4" t="s">
        <v>90</v>
      </c>
      <c r="H229" s="4" t="s">
        <v>91</v>
      </c>
      <c r="I229" s="4"/>
      <c r="J229" s="4"/>
      <c r="K229" s="4">
        <v>203</v>
      </c>
      <c r="L229" s="4">
        <v>11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41758623.619999997</v>
      </c>
      <c r="X229" s="4">
        <v>1</v>
      </c>
      <c r="Y229" s="4">
        <v>41758623.619999997</v>
      </c>
      <c r="Z229" s="4"/>
      <c r="AA229" s="4"/>
      <c r="AB229" s="4"/>
    </row>
    <row r="230" spans="1:28" ht="13" x14ac:dyDescent="0.3">
      <c r="A230" s="4">
        <v>50</v>
      </c>
      <c r="B230" s="4">
        <v>0</v>
      </c>
      <c r="C230" s="4">
        <v>0</v>
      </c>
      <c r="D230" s="4">
        <v>1</v>
      </c>
      <c r="E230" s="4">
        <v>231</v>
      </c>
      <c r="F230" s="4">
        <f>ROUND(Source!BB217,O230)</f>
        <v>0</v>
      </c>
      <c r="G230" s="4" t="s">
        <v>92</v>
      </c>
      <c r="H230" s="4" t="s">
        <v>93</v>
      </c>
      <c r="I230" s="4"/>
      <c r="J230" s="4"/>
      <c r="K230" s="4">
        <v>231</v>
      </c>
      <c r="L230" s="4">
        <v>12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ht="13" x14ac:dyDescent="0.3">
      <c r="A231" s="4">
        <v>50</v>
      </c>
      <c r="B231" s="4">
        <v>0</v>
      </c>
      <c r="C231" s="4">
        <v>0</v>
      </c>
      <c r="D231" s="4">
        <v>1</v>
      </c>
      <c r="E231" s="4">
        <v>204</v>
      </c>
      <c r="F231" s="4">
        <f>ROUND(Source!R217,O231)</f>
        <v>18658006.329999998</v>
      </c>
      <c r="G231" s="4" t="s">
        <v>94</v>
      </c>
      <c r="H231" s="4" t="s">
        <v>95</v>
      </c>
      <c r="I231" s="4"/>
      <c r="J231" s="4"/>
      <c r="K231" s="4">
        <v>204</v>
      </c>
      <c r="L231" s="4">
        <v>13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18658006.329999998</v>
      </c>
      <c r="X231" s="4">
        <v>1</v>
      </c>
      <c r="Y231" s="4">
        <v>18658006.329999998</v>
      </c>
      <c r="Z231" s="4"/>
      <c r="AA231" s="4"/>
      <c r="AB231" s="4"/>
    </row>
    <row r="232" spans="1:28" ht="13" x14ac:dyDescent="0.3">
      <c r="A232" s="4">
        <v>50</v>
      </c>
      <c r="B232" s="4">
        <v>0</v>
      </c>
      <c r="C232" s="4">
        <v>0</v>
      </c>
      <c r="D232" s="4">
        <v>1</v>
      </c>
      <c r="E232" s="4">
        <v>205</v>
      </c>
      <c r="F232" s="4">
        <f>ROUND(Source!S217,O232)</f>
        <v>18856617.530000001</v>
      </c>
      <c r="G232" s="4" t="s">
        <v>96</v>
      </c>
      <c r="H232" s="4" t="s">
        <v>97</v>
      </c>
      <c r="I232" s="4"/>
      <c r="J232" s="4"/>
      <c r="K232" s="4">
        <v>205</v>
      </c>
      <c r="L232" s="4">
        <v>14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18856617.530000001</v>
      </c>
      <c r="X232" s="4">
        <v>1</v>
      </c>
      <c r="Y232" s="4">
        <v>18856617.530000001</v>
      </c>
      <c r="Z232" s="4"/>
      <c r="AA232" s="4"/>
      <c r="AB232" s="4"/>
    </row>
    <row r="233" spans="1:28" ht="13" x14ac:dyDescent="0.3">
      <c r="A233" s="4">
        <v>50</v>
      </c>
      <c r="B233" s="4">
        <v>0</v>
      </c>
      <c r="C233" s="4">
        <v>0</v>
      </c>
      <c r="D233" s="4">
        <v>1</v>
      </c>
      <c r="E233" s="4">
        <v>232</v>
      </c>
      <c r="F233" s="4">
        <f>ROUND(Source!BC217,O233)</f>
        <v>0</v>
      </c>
      <c r="G233" s="4" t="s">
        <v>98</v>
      </c>
      <c r="H233" s="4" t="s">
        <v>99</v>
      </c>
      <c r="I233" s="4"/>
      <c r="J233" s="4"/>
      <c r="K233" s="4">
        <v>232</v>
      </c>
      <c r="L233" s="4">
        <v>15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8" ht="13" x14ac:dyDescent="0.3">
      <c r="A234" s="4">
        <v>50</v>
      </c>
      <c r="B234" s="4">
        <v>0</v>
      </c>
      <c r="C234" s="4">
        <v>0</v>
      </c>
      <c r="D234" s="4">
        <v>1</v>
      </c>
      <c r="E234" s="4">
        <v>214</v>
      </c>
      <c r="F234" s="4">
        <f>ROUND(Source!AS217,O234)</f>
        <v>0</v>
      </c>
      <c r="G234" s="4" t="s">
        <v>100</v>
      </c>
      <c r="H234" s="4" t="s">
        <v>101</v>
      </c>
      <c r="I234" s="4"/>
      <c r="J234" s="4"/>
      <c r="K234" s="4">
        <v>214</v>
      </c>
      <c r="L234" s="4">
        <v>16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8" ht="13" x14ac:dyDescent="0.3">
      <c r="A235" s="4">
        <v>50</v>
      </c>
      <c r="B235" s="4">
        <v>0</v>
      </c>
      <c r="C235" s="4">
        <v>0</v>
      </c>
      <c r="D235" s="4">
        <v>1</v>
      </c>
      <c r="E235" s="4">
        <v>215</v>
      </c>
      <c r="F235" s="4">
        <f>ROUND(Source!AT217,O235)</f>
        <v>0</v>
      </c>
      <c r="G235" s="4" t="s">
        <v>102</v>
      </c>
      <c r="H235" s="4" t="s">
        <v>103</v>
      </c>
      <c r="I235" s="4"/>
      <c r="J235" s="4"/>
      <c r="K235" s="4">
        <v>215</v>
      </c>
      <c r="L235" s="4">
        <v>17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ht="13" x14ac:dyDescent="0.3">
      <c r="A236" s="4">
        <v>50</v>
      </c>
      <c r="B236" s="4">
        <v>0</v>
      </c>
      <c r="C236" s="4">
        <v>0</v>
      </c>
      <c r="D236" s="4">
        <v>1</v>
      </c>
      <c r="E236" s="4">
        <v>217</v>
      </c>
      <c r="F236" s="4">
        <f>ROUND(Source!AU217,O236)</f>
        <v>100459253.09999999</v>
      </c>
      <c r="G236" s="4" t="s">
        <v>104</v>
      </c>
      <c r="H236" s="4" t="s">
        <v>105</v>
      </c>
      <c r="I236" s="4"/>
      <c r="J236" s="4"/>
      <c r="K236" s="4">
        <v>217</v>
      </c>
      <c r="L236" s="4">
        <v>18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100459253.09999999</v>
      </c>
      <c r="X236" s="4">
        <v>1</v>
      </c>
      <c r="Y236" s="4">
        <v>100459253.09999999</v>
      </c>
      <c r="Z236" s="4"/>
      <c r="AA236" s="4"/>
      <c r="AB236" s="4"/>
    </row>
    <row r="237" spans="1:28" ht="13" x14ac:dyDescent="0.3">
      <c r="A237" s="4">
        <v>50</v>
      </c>
      <c r="B237" s="4">
        <v>0</v>
      </c>
      <c r="C237" s="4">
        <v>0</v>
      </c>
      <c r="D237" s="4">
        <v>1</v>
      </c>
      <c r="E237" s="4">
        <v>230</v>
      </c>
      <c r="F237" s="4">
        <f>ROUND(Source!BA217,O237)</f>
        <v>0</v>
      </c>
      <c r="G237" s="4" t="s">
        <v>106</v>
      </c>
      <c r="H237" s="4" t="s">
        <v>107</v>
      </c>
      <c r="I237" s="4"/>
      <c r="J237" s="4"/>
      <c r="K237" s="4">
        <v>230</v>
      </c>
      <c r="L237" s="4">
        <v>19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8" ht="13" x14ac:dyDescent="0.3">
      <c r="A238" s="4">
        <v>50</v>
      </c>
      <c r="B238" s="4">
        <v>0</v>
      </c>
      <c r="C238" s="4">
        <v>0</v>
      </c>
      <c r="D238" s="4">
        <v>1</v>
      </c>
      <c r="E238" s="4">
        <v>206</v>
      </c>
      <c r="F238" s="4">
        <f>ROUND(Source!T217,O238)</f>
        <v>0</v>
      </c>
      <c r="G238" s="4" t="s">
        <v>108</v>
      </c>
      <c r="H238" s="4" t="s">
        <v>109</v>
      </c>
      <c r="I238" s="4"/>
      <c r="J238" s="4"/>
      <c r="K238" s="4">
        <v>206</v>
      </c>
      <c r="L238" s="4">
        <v>20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ht="13" x14ac:dyDescent="0.3">
      <c r="A239" s="4">
        <v>50</v>
      </c>
      <c r="B239" s="4">
        <v>0</v>
      </c>
      <c r="C239" s="4">
        <v>0</v>
      </c>
      <c r="D239" s="4">
        <v>1</v>
      </c>
      <c r="E239" s="4">
        <v>207</v>
      </c>
      <c r="F239" s="4">
        <f>Source!U217</f>
        <v>41819.844603999998</v>
      </c>
      <c r="G239" s="4" t="s">
        <v>110</v>
      </c>
      <c r="H239" s="4" t="s">
        <v>111</v>
      </c>
      <c r="I239" s="4"/>
      <c r="J239" s="4"/>
      <c r="K239" s="4">
        <v>207</v>
      </c>
      <c r="L239" s="4">
        <v>21</v>
      </c>
      <c r="M239" s="4">
        <v>3</v>
      </c>
      <c r="N239" s="4" t="s">
        <v>3</v>
      </c>
      <c r="O239" s="4">
        <v>-1</v>
      </c>
      <c r="P239" s="4"/>
      <c r="Q239" s="4"/>
      <c r="R239" s="4"/>
      <c r="S239" s="4"/>
      <c r="T239" s="4"/>
      <c r="U239" s="4"/>
      <c r="V239" s="4"/>
      <c r="W239" s="4">
        <v>41819.844604000005</v>
      </c>
      <c r="X239" s="4">
        <v>1</v>
      </c>
      <c r="Y239" s="4">
        <v>41819.844604000005</v>
      </c>
      <c r="Z239" s="4"/>
      <c r="AA239" s="4"/>
      <c r="AB239" s="4"/>
    </row>
    <row r="240" spans="1:28" ht="13" x14ac:dyDescent="0.3">
      <c r="A240" s="4">
        <v>50</v>
      </c>
      <c r="B240" s="4">
        <v>0</v>
      </c>
      <c r="C240" s="4">
        <v>0</v>
      </c>
      <c r="D240" s="4">
        <v>1</v>
      </c>
      <c r="E240" s="4">
        <v>208</v>
      </c>
      <c r="F240" s="4">
        <f>Source!V217</f>
        <v>0</v>
      </c>
      <c r="G240" s="4" t="s">
        <v>112</v>
      </c>
      <c r="H240" s="4" t="s">
        <v>113</v>
      </c>
      <c r="I240" s="4"/>
      <c r="J240" s="4"/>
      <c r="K240" s="4">
        <v>208</v>
      </c>
      <c r="L240" s="4">
        <v>22</v>
      </c>
      <c r="M240" s="4">
        <v>3</v>
      </c>
      <c r="N240" s="4" t="s">
        <v>3</v>
      </c>
      <c r="O240" s="4">
        <v>-1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ht="13" x14ac:dyDescent="0.3">
      <c r="A241" s="4">
        <v>50</v>
      </c>
      <c r="B241" s="4">
        <v>0</v>
      </c>
      <c r="C241" s="4">
        <v>0</v>
      </c>
      <c r="D241" s="4">
        <v>1</v>
      </c>
      <c r="E241" s="4">
        <v>209</v>
      </c>
      <c r="F241" s="4">
        <f>ROUND(Source!W217,O241)</f>
        <v>0</v>
      </c>
      <c r="G241" s="4" t="s">
        <v>114</v>
      </c>
      <c r="H241" s="4" t="s">
        <v>115</v>
      </c>
      <c r="I241" s="4"/>
      <c r="J241" s="4"/>
      <c r="K241" s="4">
        <v>209</v>
      </c>
      <c r="L241" s="4">
        <v>23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ht="13" x14ac:dyDescent="0.3">
      <c r="A242" s="4">
        <v>50</v>
      </c>
      <c r="B242" s="4">
        <v>0</v>
      </c>
      <c r="C242" s="4">
        <v>0</v>
      </c>
      <c r="D242" s="4">
        <v>1</v>
      </c>
      <c r="E242" s="4">
        <v>233</v>
      </c>
      <c r="F242" s="4">
        <f>ROUND(Source!BD217,O242)</f>
        <v>0</v>
      </c>
      <c r="G242" s="4" t="s">
        <v>116</v>
      </c>
      <c r="H242" s="4" t="s">
        <v>117</v>
      </c>
      <c r="I242" s="4"/>
      <c r="J242" s="4"/>
      <c r="K242" s="4">
        <v>233</v>
      </c>
      <c r="L242" s="4">
        <v>24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ht="13" x14ac:dyDescent="0.3">
      <c r="A243" s="4">
        <v>50</v>
      </c>
      <c r="B243" s="4">
        <v>0</v>
      </c>
      <c r="C243" s="4">
        <v>0</v>
      </c>
      <c r="D243" s="4">
        <v>1</v>
      </c>
      <c r="E243" s="4">
        <v>210</v>
      </c>
      <c r="F243" s="4">
        <f>ROUND(Source!X217,O243)</f>
        <v>13199632.27</v>
      </c>
      <c r="G243" s="4" t="s">
        <v>118</v>
      </c>
      <c r="H243" s="4" t="s">
        <v>119</v>
      </c>
      <c r="I243" s="4"/>
      <c r="J243" s="4"/>
      <c r="K243" s="4">
        <v>210</v>
      </c>
      <c r="L243" s="4">
        <v>25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13199632.27</v>
      </c>
      <c r="X243" s="4">
        <v>1</v>
      </c>
      <c r="Y243" s="4">
        <v>13199632.27</v>
      </c>
      <c r="Z243" s="4"/>
      <c r="AA243" s="4"/>
      <c r="AB243" s="4"/>
    </row>
    <row r="244" spans="1:28" ht="13" x14ac:dyDescent="0.3">
      <c r="A244" s="4">
        <v>50</v>
      </c>
      <c r="B244" s="4">
        <v>0</v>
      </c>
      <c r="C244" s="4">
        <v>0</v>
      </c>
      <c r="D244" s="4">
        <v>1</v>
      </c>
      <c r="E244" s="4">
        <v>211</v>
      </c>
      <c r="F244" s="4">
        <f>ROUND(Source!Y217,O244)</f>
        <v>1885661.77</v>
      </c>
      <c r="G244" s="4" t="s">
        <v>120</v>
      </c>
      <c r="H244" s="4" t="s">
        <v>121</v>
      </c>
      <c r="I244" s="4"/>
      <c r="J244" s="4"/>
      <c r="K244" s="4">
        <v>211</v>
      </c>
      <c r="L244" s="4">
        <v>26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1885661.77</v>
      </c>
      <c r="X244" s="4">
        <v>1</v>
      </c>
      <c r="Y244" s="4">
        <v>1885661.77</v>
      </c>
      <c r="Z244" s="4"/>
      <c r="AA244" s="4"/>
      <c r="AB244" s="4"/>
    </row>
    <row r="245" spans="1:28" ht="13" x14ac:dyDescent="0.3">
      <c r="A245" s="4">
        <v>50</v>
      </c>
      <c r="B245" s="4">
        <v>0</v>
      </c>
      <c r="C245" s="4">
        <v>0</v>
      </c>
      <c r="D245" s="4">
        <v>1</v>
      </c>
      <c r="E245" s="4">
        <v>224</v>
      </c>
      <c r="F245" s="4">
        <f>ROUND(Source!AR217,O245)</f>
        <v>100459253.09999999</v>
      </c>
      <c r="G245" s="4" t="s">
        <v>122</v>
      </c>
      <c r="H245" s="4" t="s">
        <v>123</v>
      </c>
      <c r="I245" s="4"/>
      <c r="J245" s="4"/>
      <c r="K245" s="4">
        <v>224</v>
      </c>
      <c r="L245" s="4">
        <v>27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100459253.09999999</v>
      </c>
      <c r="X245" s="4">
        <v>1</v>
      </c>
      <c r="Y245" s="4">
        <v>100459253.09999999</v>
      </c>
      <c r="Z245" s="4"/>
      <c r="AA245" s="4"/>
      <c r="AB245" s="4"/>
    </row>
    <row r="246" spans="1:28" ht="13" x14ac:dyDescent="0.3">
      <c r="A246" s="4">
        <v>50</v>
      </c>
      <c r="B246" s="4">
        <v>1</v>
      </c>
      <c r="C246" s="4">
        <v>0</v>
      </c>
      <c r="D246" s="4">
        <v>2</v>
      </c>
      <c r="E246" s="4">
        <v>0</v>
      </c>
      <c r="F246" s="4">
        <f>ROUND(F245,O246)</f>
        <v>100459253.09999999</v>
      </c>
      <c r="G246" s="4" t="s">
        <v>154</v>
      </c>
      <c r="H246" s="4" t="s">
        <v>155</v>
      </c>
      <c r="I246" s="4"/>
      <c r="J246" s="4"/>
      <c r="K246" s="4">
        <v>212</v>
      </c>
      <c r="L246" s="4">
        <v>28</v>
      </c>
      <c r="M246" s="4">
        <v>0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100459253.09999999</v>
      </c>
      <c r="X246" s="4">
        <v>1</v>
      </c>
      <c r="Y246" s="4">
        <v>100459253.09999999</v>
      </c>
      <c r="Z246" s="4"/>
      <c r="AA246" s="4"/>
      <c r="AB246" s="4"/>
    </row>
    <row r="247" spans="1:28" ht="13" x14ac:dyDescent="0.3">
      <c r="A247" s="4">
        <v>50</v>
      </c>
      <c r="B247" s="4">
        <v>1</v>
      </c>
      <c r="C247" s="4">
        <v>0</v>
      </c>
      <c r="D247" s="4">
        <v>2</v>
      </c>
      <c r="E247" s="4">
        <v>0</v>
      </c>
      <c r="F247" s="4">
        <f>ROUND(F246*0.22,O247)</f>
        <v>22101035.68</v>
      </c>
      <c r="G247" s="4" t="s">
        <v>156</v>
      </c>
      <c r="H247" s="4" t="s">
        <v>249</v>
      </c>
      <c r="I247" s="4"/>
      <c r="J247" s="4"/>
      <c r="K247" s="4">
        <v>212</v>
      </c>
      <c r="L247" s="4">
        <v>29</v>
      </c>
      <c r="M247" s="4">
        <v>0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20091850.620000001</v>
      </c>
      <c r="X247" s="4">
        <v>1</v>
      </c>
      <c r="Y247" s="4">
        <v>20091850.620000001</v>
      </c>
      <c r="Z247" s="4"/>
      <c r="AA247" s="4"/>
      <c r="AB247" s="4"/>
    </row>
    <row r="248" spans="1:28" ht="13" x14ac:dyDescent="0.3">
      <c r="A248" s="4">
        <v>50</v>
      </c>
      <c r="B248" s="4">
        <v>1</v>
      </c>
      <c r="C248" s="4">
        <v>0</v>
      </c>
      <c r="D248" s="4">
        <v>2</v>
      </c>
      <c r="E248" s="4">
        <v>213</v>
      </c>
      <c r="F248" s="4">
        <f>ROUND(F246+F247,O248)</f>
        <v>122560288.78</v>
      </c>
      <c r="G248" s="4" t="s">
        <v>157</v>
      </c>
      <c r="H248" s="4" t="s">
        <v>122</v>
      </c>
      <c r="I248" s="4"/>
      <c r="J248" s="4"/>
      <c r="K248" s="4">
        <v>212</v>
      </c>
      <c r="L248" s="4">
        <v>30</v>
      </c>
      <c r="M248" s="4">
        <v>0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120551103.72</v>
      </c>
      <c r="X248" s="4">
        <v>1</v>
      </c>
      <c r="Y248" s="4">
        <v>120551103.72</v>
      </c>
      <c r="Z248" s="4"/>
      <c r="AA248" s="4"/>
      <c r="AB248" s="4"/>
    </row>
    <row r="251" spans="1:28" x14ac:dyDescent="0.25">
      <c r="A251">
        <v>-1</v>
      </c>
    </row>
    <row r="253" spans="1:28" ht="13" x14ac:dyDescent="0.3">
      <c r="A253" s="3">
        <v>75</v>
      </c>
      <c r="B253" s="3" t="s">
        <v>158</v>
      </c>
      <c r="C253" s="3">
        <v>2025</v>
      </c>
      <c r="D253" s="3">
        <v>4</v>
      </c>
      <c r="E253" s="3">
        <v>0</v>
      </c>
      <c r="F253" s="3">
        <v>0</v>
      </c>
      <c r="G253" s="3">
        <v>0</v>
      </c>
      <c r="H253" s="3">
        <v>1</v>
      </c>
      <c r="I253" s="3">
        <v>0</v>
      </c>
      <c r="J253" s="3">
        <v>1</v>
      </c>
      <c r="K253" s="3">
        <v>78</v>
      </c>
      <c r="L253" s="3">
        <v>30</v>
      </c>
      <c r="M253" s="3">
        <v>0</v>
      </c>
      <c r="N253" s="3">
        <v>80889179</v>
      </c>
      <c r="O253" s="3">
        <v>1</v>
      </c>
    </row>
    <row r="257" spans="1:5" x14ac:dyDescent="0.25">
      <c r="A257">
        <v>65</v>
      </c>
      <c r="C257">
        <v>1</v>
      </c>
      <c r="D257">
        <v>0</v>
      </c>
      <c r="E25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8CB9F-470F-41E3-8624-CF7161EEAAAB}">
  <dimension ref="A1:EC54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159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ht="13" x14ac:dyDescent="0.3">
      <c r="A14" s="1">
        <v>22</v>
      </c>
      <c r="B14" s="1">
        <v>1</v>
      </c>
      <c r="C14" s="1">
        <v>0</v>
      </c>
      <c r="D14" s="1">
        <v>80889179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5">
      <c r="A16" s="5">
        <v>3</v>
      </c>
      <c r="B16" s="5">
        <v>1</v>
      </c>
      <c r="C16" s="5" t="s">
        <v>12</v>
      </c>
      <c r="D16" s="5" t="s">
        <v>13</v>
      </c>
      <c r="E16" s="6">
        <f>ROUND((Source!F202)/1000,2)</f>
        <v>0</v>
      </c>
      <c r="F16" s="6">
        <f>ROUND((Source!F203)/1000,2)</f>
        <v>0</v>
      </c>
      <c r="G16" s="6">
        <f>ROUND((Source!F194)/1000,2)</f>
        <v>0</v>
      </c>
      <c r="H16" s="6">
        <f>ROUND((Source!F204)/1000+(Source!F205)/1000,2)</f>
        <v>100459.25</v>
      </c>
      <c r="I16" s="6">
        <f>E16+F16+G16+H16</f>
        <v>100459.25</v>
      </c>
      <c r="J16" s="6">
        <f>ROUND((Source!F200+Source!F199)/1000,2)</f>
        <v>37514.620000000003</v>
      </c>
      <c r="K16" s="6">
        <v>69831.38</v>
      </c>
      <c r="L16" s="6">
        <v>0</v>
      </c>
      <c r="M16" s="6">
        <v>0</v>
      </c>
      <c r="N16" s="6">
        <f>I16+L16+M16</f>
        <v>100459.25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65223312.240000002</v>
      </c>
      <c r="AU16" s="6">
        <v>4608071.09</v>
      </c>
      <c r="AV16" s="6">
        <v>0</v>
      </c>
      <c r="AW16" s="6">
        <v>0</v>
      </c>
      <c r="AX16" s="6">
        <v>0</v>
      </c>
      <c r="AY16" s="6">
        <v>41758623.619999997</v>
      </c>
      <c r="AZ16" s="6">
        <v>18658006.329999998</v>
      </c>
      <c r="BA16" s="6">
        <v>18856617.530000001</v>
      </c>
      <c r="BB16" s="6">
        <v>0</v>
      </c>
      <c r="BC16" s="6">
        <v>0</v>
      </c>
      <c r="BD16" s="6">
        <v>100459253.09999999</v>
      </c>
      <c r="BE16" s="6">
        <v>0</v>
      </c>
      <c r="BF16" s="6">
        <v>41819.844604000005</v>
      </c>
      <c r="BG16" s="6">
        <v>0</v>
      </c>
      <c r="BH16" s="6">
        <v>0</v>
      </c>
      <c r="BI16" s="6">
        <v>13199632.27</v>
      </c>
      <c r="BJ16" s="6">
        <v>1885661.77</v>
      </c>
      <c r="BK16" s="6">
        <v>100459253.09999999</v>
      </c>
    </row>
    <row r="18" spans="1:16" x14ac:dyDescent="0.25">
      <c r="A18">
        <v>51</v>
      </c>
      <c r="E18">
        <v>0</v>
      </c>
      <c r="F18">
        <v>0</v>
      </c>
      <c r="G18">
        <v>0</v>
      </c>
      <c r="H18">
        <v>100459.25</v>
      </c>
      <c r="I18">
        <v>100459.25</v>
      </c>
      <c r="J18">
        <v>37514.620000000003</v>
      </c>
      <c r="K18">
        <v>69831.38</v>
      </c>
      <c r="L18">
        <v>0</v>
      </c>
      <c r="M18">
        <v>0</v>
      </c>
      <c r="N18">
        <v>100459.25</v>
      </c>
    </row>
    <row r="20" spans="1:16" ht="13" x14ac:dyDescent="0.3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65223312.240000002</v>
      </c>
      <c r="G20" s="4" t="s">
        <v>70</v>
      </c>
      <c r="H20" s="4" t="s">
        <v>71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6" ht="13" x14ac:dyDescent="0.3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4608071.09</v>
      </c>
      <c r="G21" s="4" t="s">
        <v>72</v>
      </c>
      <c r="H21" s="4" t="s">
        <v>73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6" ht="13" x14ac:dyDescent="0.3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74</v>
      </c>
      <c r="H22" s="4" t="s">
        <v>75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6" ht="13" x14ac:dyDescent="0.3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4608071.09</v>
      </c>
      <c r="G23" s="4" t="s">
        <v>76</v>
      </c>
      <c r="H23" s="4" t="s">
        <v>77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6" ht="13" x14ac:dyDescent="0.3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4608071.09</v>
      </c>
      <c r="G24" s="4" t="s">
        <v>78</v>
      </c>
      <c r="H24" s="4" t="s">
        <v>79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6" ht="13" x14ac:dyDescent="0.3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80</v>
      </c>
      <c r="H25" s="4" t="s">
        <v>81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6" ht="13" x14ac:dyDescent="0.3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4608071.09</v>
      </c>
      <c r="G26" s="4" t="s">
        <v>82</v>
      </c>
      <c r="H26" s="4" t="s">
        <v>83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6" ht="13" x14ac:dyDescent="0.3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84</v>
      </c>
      <c r="H27" s="4" t="s">
        <v>85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6" ht="13" x14ac:dyDescent="0.3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86</v>
      </c>
      <c r="H28" s="4" t="s">
        <v>87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6" ht="13" x14ac:dyDescent="0.3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88</v>
      </c>
      <c r="H29" s="4" t="s">
        <v>89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6" ht="13" x14ac:dyDescent="0.3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41758623.619999997</v>
      </c>
      <c r="G30" s="4" t="s">
        <v>90</v>
      </c>
      <c r="H30" s="4" t="s">
        <v>91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6" ht="13" x14ac:dyDescent="0.3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92</v>
      </c>
      <c r="H31" s="4" t="s">
        <v>93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6" ht="13" x14ac:dyDescent="0.3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18658006.329999998</v>
      </c>
      <c r="G32" s="4" t="s">
        <v>94</v>
      </c>
      <c r="H32" s="4" t="s">
        <v>95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ht="13" x14ac:dyDescent="0.3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18856617.530000001</v>
      </c>
      <c r="G33" s="4" t="s">
        <v>96</v>
      </c>
      <c r="H33" s="4" t="s">
        <v>97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ht="13" x14ac:dyDescent="0.3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98</v>
      </c>
      <c r="H34" s="4" t="s">
        <v>99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ht="13" x14ac:dyDescent="0.3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100</v>
      </c>
      <c r="H35" s="4" t="s">
        <v>101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ht="13" x14ac:dyDescent="0.3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102</v>
      </c>
      <c r="H36" s="4" t="s">
        <v>103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ht="13" x14ac:dyDescent="0.3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100459253.09999999</v>
      </c>
      <c r="G37" s="4" t="s">
        <v>104</v>
      </c>
      <c r="H37" s="4" t="s">
        <v>105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ht="13" x14ac:dyDescent="0.3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106</v>
      </c>
      <c r="H38" s="4" t="s">
        <v>107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ht="13" x14ac:dyDescent="0.3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108</v>
      </c>
      <c r="H39" s="4" t="s">
        <v>109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ht="13" x14ac:dyDescent="0.3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41819.844604000005</v>
      </c>
      <c r="G40" s="4" t="s">
        <v>110</v>
      </c>
      <c r="H40" s="4" t="s">
        <v>111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ht="13" x14ac:dyDescent="0.3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112</v>
      </c>
      <c r="H41" s="4" t="s">
        <v>113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ht="13" x14ac:dyDescent="0.3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114</v>
      </c>
      <c r="H42" s="4" t="s">
        <v>115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ht="13" x14ac:dyDescent="0.3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116</v>
      </c>
      <c r="H43" s="4" t="s">
        <v>117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ht="13" x14ac:dyDescent="0.3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13199632.27</v>
      </c>
      <c r="G44" s="4" t="s">
        <v>118</v>
      </c>
      <c r="H44" s="4" t="s">
        <v>119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ht="13" x14ac:dyDescent="0.3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1885661.77</v>
      </c>
      <c r="G45" s="4" t="s">
        <v>120</v>
      </c>
      <c r="H45" s="4" t="s">
        <v>121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ht="13" x14ac:dyDescent="0.3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100459253.09999999</v>
      </c>
      <c r="G46" s="4" t="s">
        <v>122</v>
      </c>
      <c r="H46" s="4" t="s">
        <v>123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ht="13" x14ac:dyDescent="0.3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100459253.09999999</v>
      </c>
      <c r="G47" s="4" t="s">
        <v>154</v>
      </c>
      <c r="H47" s="4" t="s">
        <v>155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ht="13" x14ac:dyDescent="0.3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20091850.620000001</v>
      </c>
      <c r="G48" s="4" t="s">
        <v>156</v>
      </c>
      <c r="H48" s="4" t="s">
        <v>152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ht="13" x14ac:dyDescent="0.3">
      <c r="A49" s="4">
        <v>50</v>
      </c>
      <c r="B49" s="4">
        <v>1</v>
      </c>
      <c r="C49" s="4">
        <v>0</v>
      </c>
      <c r="D49" s="4">
        <v>2</v>
      </c>
      <c r="E49" s="4">
        <v>213</v>
      </c>
      <c r="F49" s="4">
        <v>120551103.72</v>
      </c>
      <c r="G49" s="4" t="s">
        <v>157</v>
      </c>
      <c r="H49" s="4" t="s">
        <v>122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5">
      <c r="A51">
        <v>-1</v>
      </c>
    </row>
    <row r="54" spans="1:16" ht="13" x14ac:dyDescent="0.3">
      <c r="A54" s="3">
        <v>75</v>
      </c>
      <c r="B54" s="3" t="s">
        <v>158</v>
      </c>
      <c r="C54" s="3">
        <v>2025</v>
      </c>
      <c r="D54" s="3">
        <v>4</v>
      </c>
      <c r="E54" s="3">
        <v>0</v>
      </c>
      <c r="F54" s="3">
        <v>0</v>
      </c>
      <c r="G54" s="3">
        <v>0</v>
      </c>
      <c r="H54" s="3">
        <v>1</v>
      </c>
      <c r="I54" s="3">
        <v>0</v>
      </c>
      <c r="J54" s="3">
        <v>1</v>
      </c>
      <c r="K54" s="3">
        <v>78</v>
      </c>
      <c r="L54" s="3">
        <v>30</v>
      </c>
      <c r="M54" s="3">
        <v>0</v>
      </c>
      <c r="N54" s="3">
        <v>80889179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C5567-038B-4906-9CE5-CE8A5A0F2662}">
  <dimension ref="A1:DO31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19" x14ac:dyDescent="0.25">
      <c r="A1">
        <f>ROW(Source!A32)</f>
        <v>32</v>
      </c>
      <c r="B1">
        <v>80889179</v>
      </c>
      <c r="C1">
        <v>80889366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160</v>
      </c>
      <c r="J1" t="s">
        <v>161</v>
      </c>
      <c r="K1" t="s">
        <v>162</v>
      </c>
      <c r="L1">
        <v>1368</v>
      </c>
      <c r="N1">
        <v>1011</v>
      </c>
      <c r="O1" t="s">
        <v>163</v>
      </c>
      <c r="P1" t="s">
        <v>163</v>
      </c>
      <c r="Q1">
        <v>1</v>
      </c>
      <c r="W1">
        <v>0</v>
      </c>
      <c r="X1">
        <v>645985080</v>
      </c>
      <c r="Y1">
        <f t="shared" ref="Y1:Y6" si="0">(AT1*55)</f>
        <v>27.5</v>
      </c>
      <c r="AA1">
        <v>0</v>
      </c>
      <c r="AB1">
        <v>2515.98</v>
      </c>
      <c r="AC1">
        <v>872.98</v>
      </c>
      <c r="AD1">
        <v>0</v>
      </c>
      <c r="AE1">
        <v>0</v>
      </c>
      <c r="AF1">
        <v>2515.98</v>
      </c>
      <c r="AG1">
        <v>872.98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0.5</v>
      </c>
      <c r="AU1" t="s">
        <v>22</v>
      </c>
      <c r="AV1">
        <v>0</v>
      </c>
      <c r="AW1">
        <v>2</v>
      </c>
      <c r="AX1">
        <v>80889559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V1">
        <v>0</v>
      </c>
      <c r="CW1">
        <f>ROUND(Y1*Source!I32*DO1,9)</f>
        <v>0</v>
      </c>
      <c r="CX1">
        <f>ROUND(Y1*Source!I32,9)</f>
        <v>3602.209875</v>
      </c>
      <c r="CY1">
        <f>AB1</f>
        <v>2515.98</v>
      </c>
      <c r="CZ1">
        <f>AF1</f>
        <v>2515.98</v>
      </c>
      <c r="DA1">
        <f>AJ1</f>
        <v>1</v>
      </c>
      <c r="DB1">
        <f t="shared" ref="DB1:DB6" si="1">ROUND((ROUND(AT1*CZ1,2)*55),6)</f>
        <v>69189.45</v>
      </c>
      <c r="DC1">
        <f t="shared" ref="DC1:DC6" si="2">ROUND((ROUND(AT1*AG1,2)*55),6)</f>
        <v>24006.95</v>
      </c>
      <c r="DD1" t="s">
        <v>3</v>
      </c>
      <c r="DE1" t="s">
        <v>3</v>
      </c>
      <c r="DF1">
        <f t="shared" ref="DF1:DF31" si="3">ROUND(ROUND(AE1,2)*CX1,2)</f>
        <v>0</v>
      </c>
      <c r="DG1">
        <f t="shared" ref="DG1:DG31" si="4">ROUND(ROUND(AF1,2)*CX1,2)</f>
        <v>9063088</v>
      </c>
      <c r="DH1">
        <f t="shared" ref="DH1:DH31" si="5">ROUND(ROUND(AG1,2)*CX1,2)</f>
        <v>3144657.18</v>
      </c>
      <c r="DI1">
        <f t="shared" ref="DI1:DI31" si="6">ROUND(ROUND(AH1,2)*CX1,2)</f>
        <v>0</v>
      </c>
      <c r="DJ1">
        <f>DG1</f>
        <v>9063088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ROW(Source!A33)</f>
        <v>33</v>
      </c>
      <c r="B2">
        <v>80889179</v>
      </c>
      <c r="C2">
        <v>80889367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164</v>
      </c>
      <c r="J2" t="s">
        <v>3</v>
      </c>
      <c r="K2" t="s">
        <v>165</v>
      </c>
      <c r="L2">
        <v>1191</v>
      </c>
      <c r="N2">
        <v>1013</v>
      </c>
      <c r="O2" t="s">
        <v>166</v>
      </c>
      <c r="P2" t="s">
        <v>166</v>
      </c>
      <c r="Q2">
        <v>1</v>
      </c>
      <c r="W2">
        <v>0</v>
      </c>
      <c r="X2">
        <v>476480486</v>
      </c>
      <c r="Y2">
        <f t="shared" si="0"/>
        <v>35.75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0.65</v>
      </c>
      <c r="AU2" t="s">
        <v>22</v>
      </c>
      <c r="AV2">
        <v>1</v>
      </c>
      <c r="AW2">
        <v>2</v>
      </c>
      <c r="AX2">
        <v>80889561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ROUND(AT2*Source!I33*AH2*AL2,2)</f>
        <v>0</v>
      </c>
      <c r="CV2">
        <f>ROUND(Y2*Source!I33,9)</f>
        <v>11707.181200000001</v>
      </c>
      <c r="CW2">
        <v>0</v>
      </c>
      <c r="CX2">
        <f>ROUND(Y2*Source!I33,9)</f>
        <v>11707.181200000001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 t="shared" si="3"/>
        <v>0</v>
      </c>
      <c r="DG2">
        <f t="shared" si="4"/>
        <v>0</v>
      </c>
      <c r="DH2">
        <f t="shared" si="5"/>
        <v>0</v>
      </c>
      <c r="DI2">
        <f t="shared" si="6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ROW(Source!A34)</f>
        <v>34</v>
      </c>
      <c r="B3">
        <v>80889179</v>
      </c>
      <c r="C3">
        <v>80889368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167</v>
      </c>
      <c r="J3" t="s">
        <v>168</v>
      </c>
      <c r="K3" t="s">
        <v>169</v>
      </c>
      <c r="L3">
        <v>1368</v>
      </c>
      <c r="N3">
        <v>1011</v>
      </c>
      <c r="O3" t="s">
        <v>163</v>
      </c>
      <c r="P3" t="s">
        <v>163</v>
      </c>
      <c r="Q3">
        <v>1</v>
      </c>
      <c r="W3">
        <v>0</v>
      </c>
      <c r="X3">
        <v>-566548736</v>
      </c>
      <c r="Y3">
        <f t="shared" si="0"/>
        <v>14.3</v>
      </c>
      <c r="AA3">
        <v>0</v>
      </c>
      <c r="AB3">
        <v>1783.28</v>
      </c>
      <c r="AC3">
        <v>842.87</v>
      </c>
      <c r="AD3">
        <v>0</v>
      </c>
      <c r="AE3">
        <v>0</v>
      </c>
      <c r="AF3">
        <v>1783.28</v>
      </c>
      <c r="AG3">
        <v>842.87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0.26</v>
      </c>
      <c r="AU3" t="s">
        <v>22</v>
      </c>
      <c r="AV3">
        <v>0</v>
      </c>
      <c r="AW3">
        <v>2</v>
      </c>
      <c r="AX3">
        <v>80889562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ROUND(Y3*Source!I34*DO3,9)</f>
        <v>0</v>
      </c>
      <c r="CX3">
        <f>ROUND(Y3*Source!I34,9)</f>
        <v>1873.1491349999999</v>
      </c>
      <c r="CY3">
        <f>AB3</f>
        <v>1783.28</v>
      </c>
      <c r="CZ3">
        <f>AF3</f>
        <v>1783.28</v>
      </c>
      <c r="DA3">
        <f>AJ3</f>
        <v>1</v>
      </c>
      <c r="DB3">
        <f t="shared" si="1"/>
        <v>25500.75</v>
      </c>
      <c r="DC3">
        <f t="shared" si="2"/>
        <v>12053.25</v>
      </c>
      <c r="DD3" t="s">
        <v>3</v>
      </c>
      <c r="DE3" t="s">
        <v>3</v>
      </c>
      <c r="DF3">
        <f t="shared" si="3"/>
        <v>0</v>
      </c>
      <c r="DG3">
        <f t="shared" si="4"/>
        <v>3340349.39</v>
      </c>
      <c r="DH3">
        <f t="shared" si="5"/>
        <v>1578821.21</v>
      </c>
      <c r="DI3">
        <f t="shared" si="6"/>
        <v>0</v>
      </c>
      <c r="DJ3">
        <f>DG3</f>
        <v>3340349.39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ROW(Source!A34)</f>
        <v>34</v>
      </c>
      <c r="B4">
        <v>80889179</v>
      </c>
      <c r="C4">
        <v>80889368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36</v>
      </c>
      <c r="J4" t="s">
        <v>39</v>
      </c>
      <c r="K4" t="s">
        <v>37</v>
      </c>
      <c r="L4">
        <v>1339</v>
      </c>
      <c r="N4">
        <v>1007</v>
      </c>
      <c r="O4" t="s">
        <v>38</v>
      </c>
      <c r="P4" t="s">
        <v>38</v>
      </c>
      <c r="Q4">
        <v>1</v>
      </c>
      <c r="W4">
        <v>1</v>
      </c>
      <c r="X4">
        <v>2112060389</v>
      </c>
      <c r="Y4">
        <f t="shared" si="0"/>
        <v>-11</v>
      </c>
      <c r="AA4">
        <v>54.81</v>
      </c>
      <c r="AB4">
        <v>0</v>
      </c>
      <c r="AC4">
        <v>0</v>
      </c>
      <c r="AD4">
        <v>0</v>
      </c>
      <c r="AE4">
        <v>54.81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-0.2</v>
      </c>
      <c r="AU4" t="s">
        <v>22</v>
      </c>
      <c r="AV4">
        <v>0</v>
      </c>
      <c r="AW4">
        <v>2</v>
      </c>
      <c r="AX4">
        <v>80889563</v>
      </c>
      <c r="AY4">
        <v>1</v>
      </c>
      <c r="AZ4">
        <v>6144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ROUND(Y4*Source!I34,9)</f>
        <v>-1440.8839499999999</v>
      </c>
      <c r="CY4">
        <f>AA4</f>
        <v>54.81</v>
      </c>
      <c r="CZ4">
        <f>AE4</f>
        <v>54.81</v>
      </c>
      <c r="DA4">
        <f>AI4</f>
        <v>1</v>
      </c>
      <c r="DB4">
        <f t="shared" si="1"/>
        <v>-602.79999999999995</v>
      </c>
      <c r="DC4">
        <f t="shared" si="2"/>
        <v>0</v>
      </c>
      <c r="DD4" t="s">
        <v>3</v>
      </c>
      <c r="DE4" t="s">
        <v>3</v>
      </c>
      <c r="DF4">
        <f t="shared" si="3"/>
        <v>-78974.850000000006</v>
      </c>
      <c r="DG4">
        <f t="shared" si="4"/>
        <v>0</v>
      </c>
      <c r="DH4">
        <f t="shared" si="5"/>
        <v>0</v>
      </c>
      <c r="DI4">
        <f t="shared" si="6"/>
        <v>0</v>
      </c>
      <c r="DJ4">
        <f>DF4</f>
        <v>-78974.850000000006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ROW(Source!A36)</f>
        <v>36</v>
      </c>
      <c r="B5">
        <v>80889179</v>
      </c>
      <c r="C5">
        <v>80889369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164</v>
      </c>
      <c r="J5" t="s">
        <v>3</v>
      </c>
      <c r="K5" t="s">
        <v>165</v>
      </c>
      <c r="L5">
        <v>1191</v>
      </c>
      <c r="N5">
        <v>1013</v>
      </c>
      <c r="O5" t="s">
        <v>166</v>
      </c>
      <c r="P5" t="s">
        <v>166</v>
      </c>
      <c r="Q5">
        <v>1</v>
      </c>
      <c r="W5">
        <v>0</v>
      </c>
      <c r="X5">
        <v>476480486</v>
      </c>
      <c r="Y5">
        <f t="shared" si="0"/>
        <v>7.7000000000000011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0.14000000000000001</v>
      </c>
      <c r="AU5" t="s">
        <v>22</v>
      </c>
      <c r="AV5">
        <v>1</v>
      </c>
      <c r="AW5">
        <v>2</v>
      </c>
      <c r="AX5">
        <v>80889565</v>
      </c>
      <c r="AY5">
        <v>1</v>
      </c>
      <c r="AZ5">
        <v>2048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ROUND(AT5*Source!I36*AH5*AL5,2)</f>
        <v>0</v>
      </c>
      <c r="CV5">
        <f>ROUND(Y5*Source!I36,9)</f>
        <v>2521.5467199999998</v>
      </c>
      <c r="CW5">
        <v>0</v>
      </c>
      <c r="CX5">
        <f>ROUND(Y5*Source!I36,9)</f>
        <v>2521.5467199999998</v>
      </c>
      <c r="CY5">
        <f>AD5</f>
        <v>0</v>
      </c>
      <c r="CZ5">
        <f>AH5</f>
        <v>0</v>
      </c>
      <c r="DA5">
        <f>AL5</f>
        <v>1</v>
      </c>
      <c r="DB5">
        <f t="shared" si="1"/>
        <v>0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 t="shared" si="4"/>
        <v>0</v>
      </c>
      <c r="DH5">
        <f t="shared" si="5"/>
        <v>0</v>
      </c>
      <c r="DI5">
        <f t="shared" si="6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ROW(Source!A37)</f>
        <v>37</v>
      </c>
      <c r="B6">
        <v>80889179</v>
      </c>
      <c r="C6">
        <v>80889370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164</v>
      </c>
      <c r="J6" t="s">
        <v>3</v>
      </c>
      <c r="K6" t="s">
        <v>165</v>
      </c>
      <c r="L6">
        <v>1191</v>
      </c>
      <c r="N6">
        <v>1013</v>
      </c>
      <c r="O6" t="s">
        <v>166</v>
      </c>
      <c r="P6" t="s">
        <v>166</v>
      </c>
      <c r="Q6">
        <v>1</v>
      </c>
      <c r="W6">
        <v>0</v>
      </c>
      <c r="X6">
        <v>476480486</v>
      </c>
      <c r="Y6">
        <f t="shared" si="0"/>
        <v>13.2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0.24</v>
      </c>
      <c r="AU6" t="s">
        <v>22</v>
      </c>
      <c r="AV6">
        <v>1</v>
      </c>
      <c r="AW6">
        <v>2</v>
      </c>
      <c r="AX6">
        <v>80889566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ROUND(AT6*Source!I37*AH6*AL6,2)</f>
        <v>0</v>
      </c>
      <c r="CV6">
        <f>ROUND(Y6*Source!I37,9)</f>
        <v>1690.66392</v>
      </c>
      <c r="CW6">
        <v>0</v>
      </c>
      <c r="CX6">
        <f>ROUND(Y6*Source!I37,9)</f>
        <v>1690.66392</v>
      </c>
      <c r="CY6">
        <f>AD6</f>
        <v>0</v>
      </c>
      <c r="CZ6">
        <f>AH6</f>
        <v>0</v>
      </c>
      <c r="DA6">
        <f>AL6</f>
        <v>1</v>
      </c>
      <c r="DB6">
        <f t="shared" si="1"/>
        <v>0</v>
      </c>
      <c r="DC6">
        <f t="shared" si="2"/>
        <v>0</v>
      </c>
      <c r="DD6" t="s">
        <v>3</v>
      </c>
      <c r="DE6" t="s">
        <v>3</v>
      </c>
      <c r="DF6">
        <f t="shared" si="3"/>
        <v>0</v>
      </c>
      <c r="DG6">
        <f t="shared" si="4"/>
        <v>0</v>
      </c>
      <c r="DH6">
        <f t="shared" si="5"/>
        <v>0</v>
      </c>
      <c r="DI6">
        <f t="shared" si="6"/>
        <v>0</v>
      </c>
      <c r="DJ6">
        <f>DI6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ROW(Source!A38)</f>
        <v>38</v>
      </c>
      <c r="B7">
        <v>80889179</v>
      </c>
      <c r="C7">
        <v>80889373</v>
      </c>
      <c r="D7">
        <v>80199986</v>
      </c>
      <c r="E7">
        <v>15514512</v>
      </c>
      <c r="F7">
        <v>1</v>
      </c>
      <c r="G7">
        <v>15514512</v>
      </c>
      <c r="H7">
        <v>1</v>
      </c>
      <c r="I7" t="s">
        <v>164</v>
      </c>
      <c r="J7" t="s">
        <v>3</v>
      </c>
      <c r="K7" t="s">
        <v>165</v>
      </c>
      <c r="L7">
        <v>1191</v>
      </c>
      <c r="N7">
        <v>1013</v>
      </c>
      <c r="O7" t="s">
        <v>166</v>
      </c>
      <c r="P7" t="s">
        <v>166</v>
      </c>
      <c r="Q7">
        <v>1</v>
      </c>
      <c r="W7">
        <v>0</v>
      </c>
      <c r="X7">
        <v>476480486</v>
      </c>
      <c r="Y7">
        <f>(AT7*20)</f>
        <v>6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0.3</v>
      </c>
      <c r="AU7" t="s">
        <v>52</v>
      </c>
      <c r="AV7">
        <v>1</v>
      </c>
      <c r="AW7">
        <v>2</v>
      </c>
      <c r="AX7">
        <v>80889567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ROUND(AT7*Source!I38*AH7*AL7,2)</f>
        <v>0</v>
      </c>
      <c r="CV7">
        <f>ROUND(Y7*Source!I38,9)</f>
        <v>1964.8416</v>
      </c>
      <c r="CW7">
        <v>0</v>
      </c>
      <c r="CX7">
        <f>ROUND(Y7*Source!I38,9)</f>
        <v>1964.8416</v>
      </c>
      <c r="CY7">
        <f>AD7</f>
        <v>0</v>
      </c>
      <c r="CZ7">
        <f>AH7</f>
        <v>0</v>
      </c>
      <c r="DA7">
        <f>AL7</f>
        <v>1</v>
      </c>
      <c r="DB7">
        <f>ROUND((ROUND(AT7*CZ7,2)*20),6)</f>
        <v>0</v>
      </c>
      <c r="DC7">
        <f>ROUND((ROUND(AT7*AG7,2)*20),6)</f>
        <v>0</v>
      </c>
      <c r="DD7" t="s">
        <v>3</v>
      </c>
      <c r="DE7" t="s">
        <v>3</v>
      </c>
      <c r="DF7">
        <f t="shared" si="3"/>
        <v>0</v>
      </c>
      <c r="DG7">
        <f t="shared" si="4"/>
        <v>0</v>
      </c>
      <c r="DH7">
        <f t="shared" si="5"/>
        <v>0</v>
      </c>
      <c r="DI7">
        <f t="shared" si="6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ROW(Source!A38)</f>
        <v>38</v>
      </c>
      <c r="B8">
        <v>80889179</v>
      </c>
      <c r="C8">
        <v>80889373</v>
      </c>
      <c r="D8">
        <v>80216195</v>
      </c>
      <c r="E8">
        <v>1</v>
      </c>
      <c r="F8">
        <v>1</v>
      </c>
      <c r="G8">
        <v>15514512</v>
      </c>
      <c r="H8">
        <v>3</v>
      </c>
      <c r="I8" t="s">
        <v>170</v>
      </c>
      <c r="J8" t="s">
        <v>171</v>
      </c>
      <c r="K8" t="s">
        <v>172</v>
      </c>
      <c r="L8">
        <v>1346</v>
      </c>
      <c r="N8">
        <v>1009</v>
      </c>
      <c r="O8" t="s">
        <v>173</v>
      </c>
      <c r="P8" t="s">
        <v>173</v>
      </c>
      <c r="Q8">
        <v>1</v>
      </c>
      <c r="W8">
        <v>0</v>
      </c>
      <c r="X8">
        <v>-584861322</v>
      </c>
      <c r="Y8">
        <f>(AT8*20)</f>
        <v>100</v>
      </c>
      <c r="AA8">
        <v>27.3</v>
      </c>
      <c r="AB8">
        <v>0</v>
      </c>
      <c r="AC8">
        <v>0</v>
      </c>
      <c r="AD8">
        <v>0</v>
      </c>
      <c r="AE8">
        <v>27.3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5</v>
      </c>
      <c r="AU8" t="s">
        <v>52</v>
      </c>
      <c r="AV8">
        <v>0</v>
      </c>
      <c r="AW8">
        <v>2</v>
      </c>
      <c r="AX8">
        <v>80889568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ROUND(Y8*Source!I38,9)</f>
        <v>32747.360000000001</v>
      </c>
      <c r="CY8">
        <f>AA8</f>
        <v>27.3</v>
      </c>
      <c r="CZ8">
        <f>AE8</f>
        <v>27.3</v>
      </c>
      <c r="DA8">
        <f>AI8</f>
        <v>1</v>
      </c>
      <c r="DB8">
        <f>ROUND((ROUND(AT8*CZ8,2)*20),6)</f>
        <v>2730</v>
      </c>
      <c r="DC8">
        <f>ROUND((ROUND(AT8*AG8,2)*20),6)</f>
        <v>0</v>
      </c>
      <c r="DD8" t="s">
        <v>3</v>
      </c>
      <c r="DE8" t="s">
        <v>3</v>
      </c>
      <c r="DF8">
        <f t="shared" si="3"/>
        <v>894002.93</v>
      </c>
      <c r="DG8">
        <f t="shared" si="4"/>
        <v>0</v>
      </c>
      <c r="DH8">
        <f t="shared" si="5"/>
        <v>0</v>
      </c>
      <c r="DI8">
        <f t="shared" si="6"/>
        <v>0</v>
      </c>
      <c r="DJ8">
        <f>DF8</f>
        <v>894002.93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ROW(Source!A39)</f>
        <v>39</v>
      </c>
      <c r="B9">
        <v>80889179</v>
      </c>
      <c r="C9">
        <v>80889374</v>
      </c>
      <c r="D9">
        <v>80199986</v>
      </c>
      <c r="E9">
        <v>15514512</v>
      </c>
      <c r="F9">
        <v>1</v>
      </c>
      <c r="G9">
        <v>15514512</v>
      </c>
      <c r="H9">
        <v>1</v>
      </c>
      <c r="I9" t="s">
        <v>164</v>
      </c>
      <c r="J9" t="s">
        <v>3</v>
      </c>
      <c r="K9" t="s">
        <v>165</v>
      </c>
      <c r="L9">
        <v>1191</v>
      </c>
      <c r="N9">
        <v>1013</v>
      </c>
      <c r="O9" t="s">
        <v>166</v>
      </c>
      <c r="P9" t="s">
        <v>166</v>
      </c>
      <c r="Q9">
        <v>1</v>
      </c>
      <c r="W9">
        <v>0</v>
      </c>
      <c r="X9">
        <v>476480486</v>
      </c>
      <c r="Y9">
        <f>(AT9*20)</f>
        <v>0.4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0.02</v>
      </c>
      <c r="AU9" t="s">
        <v>52</v>
      </c>
      <c r="AV9">
        <v>1</v>
      </c>
      <c r="AW9">
        <v>2</v>
      </c>
      <c r="AX9">
        <v>80889569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ROUND(AT9*Source!I39*AH9*AL9,2)</f>
        <v>0</v>
      </c>
      <c r="CV9">
        <f>ROUND(Y9*Source!I39,9)</f>
        <v>52.395780000000002</v>
      </c>
      <c r="CW9">
        <v>0</v>
      </c>
      <c r="CX9">
        <f>ROUND(Y9*Source!I39,9)</f>
        <v>52.395780000000002</v>
      </c>
      <c r="CY9">
        <f>AD9</f>
        <v>0</v>
      </c>
      <c r="CZ9">
        <f>AH9</f>
        <v>0</v>
      </c>
      <c r="DA9">
        <f>AL9</f>
        <v>1</v>
      </c>
      <c r="DB9">
        <f>ROUND((ROUND(AT9*CZ9,2)*20),6)</f>
        <v>0</v>
      </c>
      <c r="DC9">
        <f>ROUND((ROUND(AT9*AG9,2)*20),6)</f>
        <v>0</v>
      </c>
      <c r="DD9" t="s">
        <v>3</v>
      </c>
      <c r="DE9" t="s">
        <v>3</v>
      </c>
      <c r="DF9">
        <f t="shared" si="3"/>
        <v>0</v>
      </c>
      <c r="DG9">
        <f t="shared" si="4"/>
        <v>0</v>
      </c>
      <c r="DH9">
        <f t="shared" si="5"/>
        <v>0</v>
      </c>
      <c r="DI9">
        <f t="shared" si="6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ROW(Source!A39)</f>
        <v>39</v>
      </c>
      <c r="B10">
        <v>80889179</v>
      </c>
      <c r="C10">
        <v>80889374</v>
      </c>
      <c r="D10">
        <v>80213219</v>
      </c>
      <c r="E10">
        <v>1</v>
      </c>
      <c r="F10">
        <v>1</v>
      </c>
      <c r="G10">
        <v>15514512</v>
      </c>
      <c r="H10">
        <v>2</v>
      </c>
      <c r="I10" t="s">
        <v>174</v>
      </c>
      <c r="J10" t="s">
        <v>175</v>
      </c>
      <c r="K10" t="s">
        <v>176</v>
      </c>
      <c r="L10">
        <v>1368</v>
      </c>
      <c r="N10">
        <v>1011</v>
      </c>
      <c r="O10" t="s">
        <v>163</v>
      </c>
      <c r="P10" t="s">
        <v>163</v>
      </c>
      <c r="Q10">
        <v>1</v>
      </c>
      <c r="W10">
        <v>0</v>
      </c>
      <c r="X10">
        <v>26148632</v>
      </c>
      <c r="Y10">
        <f>(AT10*20)</f>
        <v>1.6</v>
      </c>
      <c r="AA10">
        <v>0</v>
      </c>
      <c r="AB10">
        <v>1988.28</v>
      </c>
      <c r="AC10">
        <v>838.86</v>
      </c>
      <c r="AD10">
        <v>0</v>
      </c>
      <c r="AE10">
        <v>0</v>
      </c>
      <c r="AF10">
        <v>1988.28</v>
      </c>
      <c r="AG10">
        <v>838.86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0.08</v>
      </c>
      <c r="AU10" t="s">
        <v>52</v>
      </c>
      <c r="AV10">
        <v>0</v>
      </c>
      <c r="AW10">
        <v>2</v>
      </c>
      <c r="AX10">
        <v>80889570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ROUND(Y10*Source!I39*DO10,9)</f>
        <v>0</v>
      </c>
      <c r="CX10">
        <f>ROUND(Y10*Source!I39,9)</f>
        <v>209.58312000000001</v>
      </c>
      <c r="CY10">
        <f>AB10</f>
        <v>1988.28</v>
      </c>
      <c r="CZ10">
        <f>AF10</f>
        <v>1988.28</v>
      </c>
      <c r="DA10">
        <f>AJ10</f>
        <v>1</v>
      </c>
      <c r="DB10">
        <f>ROUND((ROUND(AT10*CZ10,2)*20),6)</f>
        <v>3181.2</v>
      </c>
      <c r="DC10">
        <f>ROUND((ROUND(AT10*AG10,2)*20),6)</f>
        <v>1342.2</v>
      </c>
      <c r="DD10" t="s">
        <v>3</v>
      </c>
      <c r="DE10" t="s">
        <v>3</v>
      </c>
      <c r="DF10">
        <f t="shared" si="3"/>
        <v>0</v>
      </c>
      <c r="DG10">
        <f t="shared" si="4"/>
        <v>416709.93</v>
      </c>
      <c r="DH10">
        <f t="shared" si="5"/>
        <v>175810.9</v>
      </c>
      <c r="DI10">
        <f t="shared" si="6"/>
        <v>0</v>
      </c>
      <c r="DJ10">
        <f>DG10</f>
        <v>416709.93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ROW(Source!A39)</f>
        <v>39</v>
      </c>
      <c r="B11">
        <v>80889179</v>
      </c>
      <c r="C11">
        <v>80889374</v>
      </c>
      <c r="D11">
        <v>80216195</v>
      </c>
      <c r="E11">
        <v>1</v>
      </c>
      <c r="F11">
        <v>1</v>
      </c>
      <c r="G11">
        <v>15514512</v>
      </c>
      <c r="H11">
        <v>3</v>
      </c>
      <c r="I11" t="s">
        <v>170</v>
      </c>
      <c r="J11" t="s">
        <v>171</v>
      </c>
      <c r="K11" t="s">
        <v>172</v>
      </c>
      <c r="L11">
        <v>1346</v>
      </c>
      <c r="N11">
        <v>1009</v>
      </c>
      <c r="O11" t="s">
        <v>173</v>
      </c>
      <c r="P11" t="s">
        <v>173</v>
      </c>
      <c r="Q11">
        <v>1</v>
      </c>
      <c r="W11">
        <v>0</v>
      </c>
      <c r="X11">
        <v>-584861322</v>
      </c>
      <c r="Y11">
        <f>(AT11*20)</f>
        <v>1000</v>
      </c>
      <c r="AA11">
        <v>27.3</v>
      </c>
      <c r="AB11">
        <v>0</v>
      </c>
      <c r="AC11">
        <v>0</v>
      </c>
      <c r="AD11">
        <v>0</v>
      </c>
      <c r="AE11">
        <v>27.3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50</v>
      </c>
      <c r="AU11" t="s">
        <v>52</v>
      </c>
      <c r="AV11">
        <v>0</v>
      </c>
      <c r="AW11">
        <v>2</v>
      </c>
      <c r="AX11">
        <v>80889571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ROUND(Y11*Source!I39,9)</f>
        <v>130989.45</v>
      </c>
      <c r="CY11">
        <f>AA11</f>
        <v>27.3</v>
      </c>
      <c r="CZ11">
        <f>AE11</f>
        <v>27.3</v>
      </c>
      <c r="DA11">
        <f>AI11</f>
        <v>1</v>
      </c>
      <c r="DB11">
        <f>ROUND((ROUND(AT11*CZ11,2)*20),6)</f>
        <v>27300</v>
      </c>
      <c r="DC11">
        <f>ROUND((ROUND(AT11*AG11,2)*20),6)</f>
        <v>0</v>
      </c>
      <c r="DD11" t="s">
        <v>3</v>
      </c>
      <c r="DE11" t="s">
        <v>3</v>
      </c>
      <c r="DF11">
        <f t="shared" si="3"/>
        <v>3576011.99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DF11</f>
        <v>3576011.99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ROW(Source!A40)</f>
        <v>40</v>
      </c>
      <c r="B12">
        <v>80889179</v>
      </c>
      <c r="C12">
        <v>80889375</v>
      </c>
      <c r="D12">
        <v>80199986</v>
      </c>
      <c r="E12">
        <v>15514512</v>
      </c>
      <c r="F12">
        <v>1</v>
      </c>
      <c r="G12">
        <v>15514512</v>
      </c>
      <c r="H12">
        <v>1</v>
      </c>
      <c r="I12" t="s">
        <v>164</v>
      </c>
      <c r="J12" t="s">
        <v>3</v>
      </c>
      <c r="K12" t="s">
        <v>165</v>
      </c>
      <c r="L12">
        <v>1191</v>
      </c>
      <c r="N12">
        <v>1013</v>
      </c>
      <c r="O12" t="s">
        <v>166</v>
      </c>
      <c r="P12" t="s">
        <v>166</v>
      </c>
      <c r="Q12">
        <v>1</v>
      </c>
      <c r="W12">
        <v>0</v>
      </c>
      <c r="X12">
        <v>476480486</v>
      </c>
      <c r="Y12">
        <f>(AT12*10)</f>
        <v>24.1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2.41</v>
      </c>
      <c r="AU12" t="s">
        <v>61</v>
      </c>
      <c r="AV12">
        <v>1</v>
      </c>
      <c r="AW12">
        <v>2</v>
      </c>
      <c r="AX12">
        <v>80889572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ROUND(AT12*Source!I40*AH12*AL12,2)</f>
        <v>0</v>
      </c>
      <c r="CV12">
        <f>ROUND(Y12*Source!I40,9)</f>
        <v>334.85021999999998</v>
      </c>
      <c r="CW12">
        <v>0</v>
      </c>
      <c r="CX12">
        <f>ROUND(Y12*Source!I40,9)</f>
        <v>334.85021999999998</v>
      </c>
      <c r="CY12">
        <f>AD12</f>
        <v>0</v>
      </c>
      <c r="CZ12">
        <f>AH12</f>
        <v>0</v>
      </c>
      <c r="DA12">
        <f>AL12</f>
        <v>1</v>
      </c>
      <c r="DB12">
        <f>ROUND((ROUND(AT12*CZ12,2)*10),6)</f>
        <v>0</v>
      </c>
      <c r="DC12">
        <f>ROUND((ROUND(AT12*AG12,2)*10),6)</f>
        <v>0</v>
      </c>
      <c r="DD12" t="s">
        <v>3</v>
      </c>
      <c r="DE12" t="s">
        <v>3</v>
      </c>
      <c r="DF12">
        <f t="shared" si="3"/>
        <v>0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ROW(Source!A41)</f>
        <v>41</v>
      </c>
      <c r="B13">
        <v>80889179</v>
      </c>
      <c r="C13">
        <v>80889376</v>
      </c>
      <c r="D13">
        <v>80199986</v>
      </c>
      <c r="E13">
        <v>15514512</v>
      </c>
      <c r="F13">
        <v>1</v>
      </c>
      <c r="G13">
        <v>15514512</v>
      </c>
      <c r="H13">
        <v>1</v>
      </c>
      <c r="I13" t="s">
        <v>164</v>
      </c>
      <c r="J13" t="s">
        <v>3</v>
      </c>
      <c r="K13" t="s">
        <v>165</v>
      </c>
      <c r="L13">
        <v>1191</v>
      </c>
      <c r="N13">
        <v>1013</v>
      </c>
      <c r="O13" t="s">
        <v>166</v>
      </c>
      <c r="P13" t="s">
        <v>166</v>
      </c>
      <c r="Q13">
        <v>1</v>
      </c>
      <c r="W13">
        <v>0</v>
      </c>
      <c r="X13">
        <v>476480486</v>
      </c>
      <c r="Y13">
        <f>AT13</f>
        <v>0.37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0.37</v>
      </c>
      <c r="AU13" t="s">
        <v>3</v>
      </c>
      <c r="AV13">
        <v>1</v>
      </c>
      <c r="AW13">
        <v>2</v>
      </c>
      <c r="AX13">
        <v>80889573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U13">
        <f>ROUND(AT13*Source!I41*AH13*AL13,2)</f>
        <v>0</v>
      </c>
      <c r="CV13">
        <f>ROUND(Y13*Source!I41,9)</f>
        <v>8723.86</v>
      </c>
      <c r="CW13">
        <v>0</v>
      </c>
      <c r="CX13">
        <f>ROUND(Y13*Source!I41,9)</f>
        <v>8723.86</v>
      </c>
      <c r="CY13">
        <f>AD13</f>
        <v>0</v>
      </c>
      <c r="CZ13">
        <f>AH13</f>
        <v>0</v>
      </c>
      <c r="DA13">
        <f>AL13</f>
        <v>1</v>
      </c>
      <c r="DB13">
        <f>ROUND(ROUND(AT13*CZ13,2),6)</f>
        <v>0</v>
      </c>
      <c r="DC13">
        <f>ROUND(ROUND(AT13*AG13,2),6)</f>
        <v>0</v>
      </c>
      <c r="DD13" t="s">
        <v>3</v>
      </c>
      <c r="DE13" t="s">
        <v>3</v>
      </c>
      <c r="DF13">
        <f t="shared" si="3"/>
        <v>0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DI13</f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ROW(Source!A41)</f>
        <v>41</v>
      </c>
      <c r="B14">
        <v>80889179</v>
      </c>
      <c r="C14">
        <v>80889376</v>
      </c>
      <c r="D14">
        <v>80212784</v>
      </c>
      <c r="E14">
        <v>1</v>
      </c>
      <c r="F14">
        <v>1</v>
      </c>
      <c r="G14">
        <v>15514512</v>
      </c>
      <c r="H14">
        <v>2</v>
      </c>
      <c r="I14" t="s">
        <v>177</v>
      </c>
      <c r="J14" t="s">
        <v>178</v>
      </c>
      <c r="K14" t="s">
        <v>179</v>
      </c>
      <c r="L14">
        <v>1368</v>
      </c>
      <c r="N14">
        <v>1011</v>
      </c>
      <c r="O14" t="s">
        <v>163</v>
      </c>
      <c r="P14" t="s">
        <v>163</v>
      </c>
      <c r="Q14">
        <v>1</v>
      </c>
      <c r="W14">
        <v>0</v>
      </c>
      <c r="X14">
        <v>-290374090</v>
      </c>
      <c r="Y14">
        <f>AT14</f>
        <v>0.34</v>
      </c>
      <c r="AA14">
        <v>0</v>
      </c>
      <c r="AB14">
        <v>2097.0700000000002</v>
      </c>
      <c r="AC14">
        <v>1028.7</v>
      </c>
      <c r="AD14">
        <v>0</v>
      </c>
      <c r="AE14">
        <v>0</v>
      </c>
      <c r="AF14">
        <v>2097.0700000000002</v>
      </c>
      <c r="AG14">
        <v>1028.7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0.34</v>
      </c>
      <c r="AU14" t="s">
        <v>3</v>
      </c>
      <c r="AV14">
        <v>0</v>
      </c>
      <c r="AW14">
        <v>2</v>
      </c>
      <c r="AX14">
        <v>80889574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ROUND(Y14*Source!I41*DO14,9)</f>
        <v>0</v>
      </c>
      <c r="CX14">
        <f>ROUND(Y14*Source!I41,9)</f>
        <v>8016.52</v>
      </c>
      <c r="CY14">
        <f>AB14</f>
        <v>2097.0700000000002</v>
      </c>
      <c r="CZ14">
        <f>AF14</f>
        <v>2097.0700000000002</v>
      </c>
      <c r="DA14">
        <f>AJ14</f>
        <v>1</v>
      </c>
      <c r="DB14">
        <f>ROUND(ROUND(AT14*CZ14,2),6)</f>
        <v>713</v>
      </c>
      <c r="DC14">
        <f>ROUND(ROUND(AT14*AG14,2),6)</f>
        <v>349.76</v>
      </c>
      <c r="DD14" t="s">
        <v>3</v>
      </c>
      <c r="DE14" t="s">
        <v>3</v>
      </c>
      <c r="DF14">
        <f t="shared" si="3"/>
        <v>0</v>
      </c>
      <c r="DG14">
        <f t="shared" si="4"/>
        <v>16811203.600000001</v>
      </c>
      <c r="DH14">
        <f t="shared" si="5"/>
        <v>8246594.1200000001</v>
      </c>
      <c r="DI14">
        <f t="shared" si="6"/>
        <v>0</v>
      </c>
      <c r="DJ14">
        <f>DG14</f>
        <v>16811203.600000001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ROW(Source!A42)</f>
        <v>42</v>
      </c>
      <c r="B15">
        <v>80889179</v>
      </c>
      <c r="C15">
        <v>80889377</v>
      </c>
      <c r="D15">
        <v>80212784</v>
      </c>
      <c r="E15">
        <v>1</v>
      </c>
      <c r="F15">
        <v>1</v>
      </c>
      <c r="G15">
        <v>15514512</v>
      </c>
      <c r="H15">
        <v>2</v>
      </c>
      <c r="I15" t="s">
        <v>177</v>
      </c>
      <c r="J15" t="s">
        <v>178</v>
      </c>
      <c r="K15" t="s">
        <v>179</v>
      </c>
      <c r="L15">
        <v>1368</v>
      </c>
      <c r="N15">
        <v>1011</v>
      </c>
      <c r="O15" t="s">
        <v>163</v>
      </c>
      <c r="P15" t="s">
        <v>163</v>
      </c>
      <c r="Q15">
        <v>1</v>
      </c>
      <c r="W15">
        <v>0</v>
      </c>
      <c r="X15">
        <v>-290374090</v>
      </c>
      <c r="Y15">
        <f>AT15</f>
        <v>0.09</v>
      </c>
      <c r="AA15">
        <v>0</v>
      </c>
      <c r="AB15">
        <v>2097.0700000000002</v>
      </c>
      <c r="AC15">
        <v>1028.7</v>
      </c>
      <c r="AD15">
        <v>0</v>
      </c>
      <c r="AE15">
        <v>0</v>
      </c>
      <c r="AF15">
        <v>2097.0700000000002</v>
      </c>
      <c r="AG15">
        <v>1028.7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0.09</v>
      </c>
      <c r="AU15" t="s">
        <v>3</v>
      </c>
      <c r="AV15">
        <v>0</v>
      </c>
      <c r="AW15">
        <v>2</v>
      </c>
      <c r="AX15">
        <v>80889575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f>ROUND(Y15*Source!I42*DO15,9)</f>
        <v>0</v>
      </c>
      <c r="CX15">
        <f>ROUND(Y15*Source!I42,9)</f>
        <v>2122.02</v>
      </c>
      <c r="CY15">
        <f>AB15</f>
        <v>2097.0700000000002</v>
      </c>
      <c r="CZ15">
        <f>AF15</f>
        <v>2097.0700000000002</v>
      </c>
      <c r="DA15">
        <f>AJ15</f>
        <v>1</v>
      </c>
      <c r="DB15">
        <f>ROUND(ROUND(AT15*CZ15,2),6)</f>
        <v>188.74</v>
      </c>
      <c r="DC15">
        <f>ROUND(ROUND(AT15*AG15,2),6)</f>
        <v>92.58</v>
      </c>
      <c r="DD15" t="s">
        <v>3</v>
      </c>
      <c r="DE15" t="s">
        <v>3</v>
      </c>
      <c r="DF15">
        <f t="shared" si="3"/>
        <v>0</v>
      </c>
      <c r="DG15">
        <f t="shared" si="4"/>
        <v>4450024.4800000004</v>
      </c>
      <c r="DH15">
        <f t="shared" si="5"/>
        <v>2182921.9700000002</v>
      </c>
      <c r="DI15">
        <f t="shared" si="6"/>
        <v>0</v>
      </c>
      <c r="DJ15">
        <f>DG15</f>
        <v>4450024.4800000004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ROW(Source!A78)</f>
        <v>78</v>
      </c>
      <c r="B16">
        <v>80889179</v>
      </c>
      <c r="C16">
        <v>80889441</v>
      </c>
      <c r="D16">
        <v>80213221</v>
      </c>
      <c r="E16">
        <v>1</v>
      </c>
      <c r="F16">
        <v>1</v>
      </c>
      <c r="G16">
        <v>15514512</v>
      </c>
      <c r="H16">
        <v>2</v>
      </c>
      <c r="I16" t="s">
        <v>167</v>
      </c>
      <c r="J16" t="s">
        <v>168</v>
      </c>
      <c r="K16" t="s">
        <v>169</v>
      </c>
      <c r="L16">
        <v>1368</v>
      </c>
      <c r="N16">
        <v>1011</v>
      </c>
      <c r="O16" t="s">
        <v>163</v>
      </c>
      <c r="P16" t="s">
        <v>163</v>
      </c>
      <c r="Q16">
        <v>1</v>
      </c>
      <c r="W16">
        <v>0</v>
      </c>
      <c r="X16">
        <v>-566548736</v>
      </c>
      <c r="Y16">
        <f>(AT16*66)</f>
        <v>17.16</v>
      </c>
      <c r="AA16">
        <v>0</v>
      </c>
      <c r="AB16">
        <v>1783.28</v>
      </c>
      <c r="AC16">
        <v>842.87</v>
      </c>
      <c r="AD16">
        <v>0</v>
      </c>
      <c r="AE16">
        <v>0</v>
      </c>
      <c r="AF16">
        <v>1783.28</v>
      </c>
      <c r="AG16">
        <v>842.87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0.26</v>
      </c>
      <c r="AU16" t="s">
        <v>125</v>
      </c>
      <c r="AV16">
        <v>0</v>
      </c>
      <c r="AW16">
        <v>2</v>
      </c>
      <c r="AX16">
        <v>80889576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f>ROUND(Y16*Source!I78*DO16,9)</f>
        <v>0</v>
      </c>
      <c r="CX16">
        <f>ROUND(Y16*Source!I78,9)</f>
        <v>2247.7789619999999</v>
      </c>
      <c r="CY16">
        <f>AB16</f>
        <v>1783.28</v>
      </c>
      <c r="CZ16">
        <f>AF16</f>
        <v>1783.28</v>
      </c>
      <c r="DA16">
        <f>AJ16</f>
        <v>1</v>
      </c>
      <c r="DB16">
        <f>ROUND((ROUND(AT16*CZ16,2)*66),6)</f>
        <v>30600.9</v>
      </c>
      <c r="DC16">
        <f>ROUND((ROUND(AT16*AG16,2)*66),6)</f>
        <v>14463.9</v>
      </c>
      <c r="DD16" t="s">
        <v>3</v>
      </c>
      <c r="DE16" t="s">
        <v>3</v>
      </c>
      <c r="DF16">
        <f t="shared" si="3"/>
        <v>0</v>
      </c>
      <c r="DG16">
        <f t="shared" si="4"/>
        <v>4008419.27</v>
      </c>
      <c r="DH16">
        <f t="shared" si="5"/>
        <v>1894585.45</v>
      </c>
      <c r="DI16">
        <f t="shared" si="6"/>
        <v>0</v>
      </c>
      <c r="DJ16">
        <f>DG16</f>
        <v>4008419.27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ROW(Source!A78)</f>
        <v>78</v>
      </c>
      <c r="B17">
        <v>80889179</v>
      </c>
      <c r="C17">
        <v>80889441</v>
      </c>
      <c r="D17">
        <v>80215470</v>
      </c>
      <c r="E17">
        <v>1</v>
      </c>
      <c r="F17">
        <v>1</v>
      </c>
      <c r="G17">
        <v>15514512</v>
      </c>
      <c r="H17">
        <v>3</v>
      </c>
      <c r="I17" t="s">
        <v>36</v>
      </c>
      <c r="J17" t="s">
        <v>39</v>
      </c>
      <c r="K17" t="s">
        <v>37</v>
      </c>
      <c r="L17">
        <v>1339</v>
      </c>
      <c r="N17">
        <v>1007</v>
      </c>
      <c r="O17" t="s">
        <v>38</v>
      </c>
      <c r="P17" t="s">
        <v>38</v>
      </c>
      <c r="Q17">
        <v>1</v>
      </c>
      <c r="W17">
        <v>0</v>
      </c>
      <c r="X17">
        <v>2112060389</v>
      </c>
      <c r="Y17">
        <f>(AT17*66)</f>
        <v>13.200000000000001</v>
      </c>
      <c r="AA17">
        <v>54.81</v>
      </c>
      <c r="AB17">
        <v>0</v>
      </c>
      <c r="AC17">
        <v>0</v>
      </c>
      <c r="AD17">
        <v>0</v>
      </c>
      <c r="AE17">
        <v>54.81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0.2</v>
      </c>
      <c r="AU17" t="s">
        <v>125</v>
      </c>
      <c r="AV17">
        <v>0</v>
      </c>
      <c r="AW17">
        <v>2</v>
      </c>
      <c r="AX17">
        <v>80889577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ROUND(Y17*Source!I78,9)</f>
        <v>1729.0607399999999</v>
      </c>
      <c r="CY17">
        <f>AA17</f>
        <v>54.81</v>
      </c>
      <c r="CZ17">
        <f>AE17</f>
        <v>54.81</v>
      </c>
      <c r="DA17">
        <f>AI17</f>
        <v>1</v>
      </c>
      <c r="DB17">
        <f>ROUND((ROUND(AT17*CZ17,2)*66),6)</f>
        <v>723.36</v>
      </c>
      <c r="DC17">
        <f>ROUND((ROUND(AT17*AG17,2)*66),6)</f>
        <v>0</v>
      </c>
      <c r="DD17" t="s">
        <v>3</v>
      </c>
      <c r="DE17" t="s">
        <v>3</v>
      </c>
      <c r="DF17">
        <f t="shared" si="3"/>
        <v>94769.82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DF17</f>
        <v>94769.82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5">
      <c r="A18">
        <f>ROW(Source!A79)</f>
        <v>79</v>
      </c>
      <c r="B18">
        <v>80889179</v>
      </c>
      <c r="C18">
        <v>80889442</v>
      </c>
      <c r="D18">
        <v>80199986</v>
      </c>
      <c r="E18">
        <v>15514512</v>
      </c>
      <c r="F18">
        <v>1</v>
      </c>
      <c r="G18">
        <v>15514512</v>
      </c>
      <c r="H18">
        <v>1</v>
      </c>
      <c r="I18" t="s">
        <v>164</v>
      </c>
      <c r="J18" t="s">
        <v>3</v>
      </c>
      <c r="K18" t="s">
        <v>165</v>
      </c>
      <c r="L18">
        <v>1191</v>
      </c>
      <c r="N18">
        <v>1013</v>
      </c>
      <c r="O18" t="s">
        <v>166</v>
      </c>
      <c r="P18" t="s">
        <v>166</v>
      </c>
      <c r="Q18">
        <v>1</v>
      </c>
      <c r="W18">
        <v>0</v>
      </c>
      <c r="X18">
        <v>476480486</v>
      </c>
      <c r="Y18">
        <f>(AT18*66)</f>
        <v>9.24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0.14000000000000001</v>
      </c>
      <c r="AU18" t="s">
        <v>125</v>
      </c>
      <c r="AV18">
        <v>1</v>
      </c>
      <c r="AW18">
        <v>2</v>
      </c>
      <c r="AX18">
        <v>80889578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ROUND(AT18*Source!I79*AH18*AL18,2)</f>
        <v>0</v>
      </c>
      <c r="CV18">
        <f>ROUND(Y18*Source!I79,9)</f>
        <v>3025.8560640000001</v>
      </c>
      <c r="CW18">
        <v>0</v>
      </c>
      <c r="CX18">
        <f>ROUND(Y18*Source!I79,9)</f>
        <v>3025.8560640000001</v>
      </c>
      <c r="CY18">
        <f>AD18</f>
        <v>0</v>
      </c>
      <c r="CZ18">
        <f>AH18</f>
        <v>0</v>
      </c>
      <c r="DA18">
        <f>AL18</f>
        <v>1</v>
      </c>
      <c r="DB18">
        <f>ROUND((ROUND(AT18*CZ18,2)*66),6)</f>
        <v>0</v>
      </c>
      <c r="DC18">
        <f>ROUND((ROUND(AT18*AG18,2)*66),6)</f>
        <v>0</v>
      </c>
      <c r="DD18" t="s">
        <v>3</v>
      </c>
      <c r="DE18" t="s">
        <v>3</v>
      </c>
      <c r="DF18">
        <f t="shared" si="3"/>
        <v>0</v>
      </c>
      <c r="DG18">
        <f t="shared" si="4"/>
        <v>0</v>
      </c>
      <c r="DH18">
        <f t="shared" si="5"/>
        <v>0</v>
      </c>
      <c r="DI18">
        <f t="shared" si="6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5">
      <c r="A19">
        <f>ROW(Source!A80)</f>
        <v>80</v>
      </c>
      <c r="B19">
        <v>80889179</v>
      </c>
      <c r="C19">
        <v>80889443</v>
      </c>
      <c r="D19">
        <v>80199986</v>
      </c>
      <c r="E19">
        <v>15514512</v>
      </c>
      <c r="F19">
        <v>1</v>
      </c>
      <c r="G19">
        <v>15514512</v>
      </c>
      <c r="H19">
        <v>1</v>
      </c>
      <c r="I19" t="s">
        <v>164</v>
      </c>
      <c r="J19" t="s">
        <v>3</v>
      </c>
      <c r="K19" t="s">
        <v>165</v>
      </c>
      <c r="L19">
        <v>1191</v>
      </c>
      <c r="N19">
        <v>1013</v>
      </c>
      <c r="O19" t="s">
        <v>166</v>
      </c>
      <c r="P19" t="s">
        <v>166</v>
      </c>
      <c r="Q19">
        <v>1</v>
      </c>
      <c r="W19">
        <v>0</v>
      </c>
      <c r="X19">
        <v>476480486</v>
      </c>
      <c r="Y19">
        <f>(AT19*66)</f>
        <v>15.84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0.24</v>
      </c>
      <c r="AU19" t="s">
        <v>125</v>
      </c>
      <c r="AV19">
        <v>1</v>
      </c>
      <c r="AW19">
        <v>2</v>
      </c>
      <c r="AX19">
        <v>80889579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ROUND(AT19*Source!I80*AH19*AL19,2)</f>
        <v>0</v>
      </c>
      <c r="CV19">
        <f>ROUND(Y19*Source!I80,9)</f>
        <v>2028.7967040000001</v>
      </c>
      <c r="CW19">
        <v>0</v>
      </c>
      <c r="CX19">
        <f>ROUND(Y19*Source!I80,9)</f>
        <v>2028.7967040000001</v>
      </c>
      <c r="CY19">
        <f>AD19</f>
        <v>0</v>
      </c>
      <c r="CZ19">
        <f>AH19</f>
        <v>0</v>
      </c>
      <c r="DA19">
        <f>AL19</f>
        <v>1</v>
      </c>
      <c r="DB19">
        <f>ROUND((ROUND(AT19*CZ19,2)*66),6)</f>
        <v>0</v>
      </c>
      <c r="DC19">
        <f>ROUND((ROUND(AT19*AG19,2)*66),6)</f>
        <v>0</v>
      </c>
      <c r="DD19" t="s">
        <v>3</v>
      </c>
      <c r="DE19" t="s">
        <v>3</v>
      </c>
      <c r="DF19">
        <f t="shared" si="3"/>
        <v>0</v>
      </c>
      <c r="DG19">
        <f t="shared" si="4"/>
        <v>0</v>
      </c>
      <c r="DH19">
        <f t="shared" si="5"/>
        <v>0</v>
      </c>
      <c r="DI19">
        <f t="shared" si="6"/>
        <v>0</v>
      </c>
      <c r="DJ19">
        <f>DI19</f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5">
      <c r="A20">
        <f>ROW(Source!A81)</f>
        <v>81</v>
      </c>
      <c r="B20">
        <v>80889179</v>
      </c>
      <c r="C20">
        <v>80889445</v>
      </c>
      <c r="D20">
        <v>80213221</v>
      </c>
      <c r="E20">
        <v>1</v>
      </c>
      <c r="F20">
        <v>1</v>
      </c>
      <c r="G20">
        <v>15514512</v>
      </c>
      <c r="H20">
        <v>2</v>
      </c>
      <c r="I20" t="s">
        <v>167</v>
      </c>
      <c r="J20" t="s">
        <v>168</v>
      </c>
      <c r="K20" t="s">
        <v>169</v>
      </c>
      <c r="L20">
        <v>1368</v>
      </c>
      <c r="N20">
        <v>1011</v>
      </c>
      <c r="O20" t="s">
        <v>163</v>
      </c>
      <c r="P20" t="s">
        <v>163</v>
      </c>
      <c r="Q20">
        <v>1</v>
      </c>
      <c r="W20">
        <v>0</v>
      </c>
      <c r="X20">
        <v>-566548736</v>
      </c>
      <c r="Y20">
        <f>(AT20*14)</f>
        <v>5.88</v>
      </c>
      <c r="AA20">
        <v>0</v>
      </c>
      <c r="AB20">
        <v>1783.28</v>
      </c>
      <c r="AC20">
        <v>842.87</v>
      </c>
      <c r="AD20">
        <v>0</v>
      </c>
      <c r="AE20">
        <v>0</v>
      </c>
      <c r="AF20">
        <v>1783.28</v>
      </c>
      <c r="AG20">
        <v>842.87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0.42</v>
      </c>
      <c r="AU20" t="s">
        <v>131</v>
      </c>
      <c r="AV20">
        <v>0</v>
      </c>
      <c r="AW20">
        <v>2</v>
      </c>
      <c r="AX20">
        <v>80889580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f>ROUND(Y20*Source!I81*DO20,9)</f>
        <v>0</v>
      </c>
      <c r="CX20">
        <f>ROUND(Y20*Source!I81,9)</f>
        <v>962.77244280000002</v>
      </c>
      <c r="CY20">
        <f>AB20</f>
        <v>1783.28</v>
      </c>
      <c r="CZ20">
        <f>AF20</f>
        <v>1783.28</v>
      </c>
      <c r="DA20">
        <f>AJ20</f>
        <v>1</v>
      </c>
      <c r="DB20">
        <f>ROUND((ROUND(AT20*CZ20,2)*14),6)</f>
        <v>10485.719999999999</v>
      </c>
      <c r="DC20">
        <f>ROUND((ROUND(AT20*AG20,2)*14),6)</f>
        <v>4956.1400000000003</v>
      </c>
      <c r="DD20" t="s">
        <v>3</v>
      </c>
      <c r="DE20" t="s">
        <v>3</v>
      </c>
      <c r="DF20">
        <f t="shared" si="3"/>
        <v>0</v>
      </c>
      <c r="DG20">
        <f t="shared" si="4"/>
        <v>1716892.84</v>
      </c>
      <c r="DH20">
        <f t="shared" si="5"/>
        <v>811492.01</v>
      </c>
      <c r="DI20">
        <f t="shared" si="6"/>
        <v>0</v>
      </c>
      <c r="DJ20">
        <f>DG20</f>
        <v>1716892.84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5">
      <c r="A21">
        <f>ROW(Source!A81)</f>
        <v>81</v>
      </c>
      <c r="B21">
        <v>80889179</v>
      </c>
      <c r="C21">
        <v>80889445</v>
      </c>
      <c r="D21">
        <v>80215470</v>
      </c>
      <c r="E21">
        <v>1</v>
      </c>
      <c r="F21">
        <v>1</v>
      </c>
      <c r="G21">
        <v>15514512</v>
      </c>
      <c r="H21">
        <v>3</v>
      </c>
      <c r="I21" t="s">
        <v>36</v>
      </c>
      <c r="J21" t="s">
        <v>39</v>
      </c>
      <c r="K21" t="s">
        <v>37</v>
      </c>
      <c r="L21">
        <v>1339</v>
      </c>
      <c r="N21">
        <v>1007</v>
      </c>
      <c r="O21" t="s">
        <v>38</v>
      </c>
      <c r="P21" t="s">
        <v>38</v>
      </c>
      <c r="Q21">
        <v>1</v>
      </c>
      <c r="W21">
        <v>1</v>
      </c>
      <c r="X21">
        <v>2112060389</v>
      </c>
      <c r="Y21">
        <f>(AT21*14)</f>
        <v>-4.8999999999999995</v>
      </c>
      <c r="AA21">
        <v>54.81</v>
      </c>
      <c r="AB21">
        <v>0</v>
      </c>
      <c r="AC21">
        <v>0</v>
      </c>
      <c r="AD21">
        <v>0</v>
      </c>
      <c r="AE21">
        <v>54.81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-0.35</v>
      </c>
      <c r="AU21" t="s">
        <v>131</v>
      </c>
      <c r="AV21">
        <v>0</v>
      </c>
      <c r="AW21">
        <v>2</v>
      </c>
      <c r="AX21">
        <v>80889581</v>
      </c>
      <c r="AY21">
        <v>1</v>
      </c>
      <c r="AZ21">
        <v>6144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ROUND(Y21*Source!I81,9)</f>
        <v>-802.31036900000004</v>
      </c>
      <c r="CY21">
        <f>AA21</f>
        <v>54.81</v>
      </c>
      <c r="CZ21">
        <f>AE21</f>
        <v>54.81</v>
      </c>
      <c r="DA21">
        <f>AI21</f>
        <v>1</v>
      </c>
      <c r="DB21">
        <f>ROUND((ROUND(AT21*CZ21,2)*14),6)</f>
        <v>-268.52</v>
      </c>
      <c r="DC21">
        <f>ROUND((ROUND(AT21*AG21,2)*14),6)</f>
        <v>0</v>
      </c>
      <c r="DD21" t="s">
        <v>3</v>
      </c>
      <c r="DE21" t="s">
        <v>3</v>
      </c>
      <c r="DF21">
        <f t="shared" si="3"/>
        <v>-43974.63</v>
      </c>
      <c r="DG21">
        <f t="shared" si="4"/>
        <v>0</v>
      </c>
      <c r="DH21">
        <f t="shared" si="5"/>
        <v>0</v>
      </c>
      <c r="DI21">
        <f t="shared" si="6"/>
        <v>0</v>
      </c>
      <c r="DJ21">
        <f>DF21</f>
        <v>-43974.63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5">
      <c r="A22">
        <f>ROW(Source!A83)</f>
        <v>83</v>
      </c>
      <c r="B22">
        <v>80889179</v>
      </c>
      <c r="C22">
        <v>80889446</v>
      </c>
      <c r="D22">
        <v>80213221</v>
      </c>
      <c r="E22">
        <v>1</v>
      </c>
      <c r="F22">
        <v>1</v>
      </c>
      <c r="G22">
        <v>15514512</v>
      </c>
      <c r="H22">
        <v>2</v>
      </c>
      <c r="I22" t="s">
        <v>167</v>
      </c>
      <c r="J22" t="s">
        <v>168</v>
      </c>
      <c r="K22" t="s">
        <v>169</v>
      </c>
      <c r="L22">
        <v>1368</v>
      </c>
      <c r="N22">
        <v>1011</v>
      </c>
      <c r="O22" t="s">
        <v>163</v>
      </c>
      <c r="P22" t="s">
        <v>163</v>
      </c>
      <c r="Q22">
        <v>1</v>
      </c>
      <c r="W22">
        <v>0</v>
      </c>
      <c r="X22">
        <v>-566548736</v>
      </c>
      <c r="Y22">
        <f>(AT22*2)</f>
        <v>1.32</v>
      </c>
      <c r="AA22">
        <v>0</v>
      </c>
      <c r="AB22">
        <v>1783.28</v>
      </c>
      <c r="AC22">
        <v>842.87</v>
      </c>
      <c r="AD22">
        <v>0</v>
      </c>
      <c r="AE22">
        <v>0</v>
      </c>
      <c r="AF22">
        <v>1783.28</v>
      </c>
      <c r="AG22">
        <v>842.87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0.66</v>
      </c>
      <c r="AU22" t="s">
        <v>136</v>
      </c>
      <c r="AV22">
        <v>0</v>
      </c>
      <c r="AW22">
        <v>2</v>
      </c>
      <c r="AX22">
        <v>80889583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ROUND(Y22*Source!I83*DO22,9)</f>
        <v>0</v>
      </c>
      <c r="CX22">
        <f>ROUND(Y22*Source!I83,9)</f>
        <v>216.13258920000001</v>
      </c>
      <c r="CY22">
        <f>AB22</f>
        <v>1783.28</v>
      </c>
      <c r="CZ22">
        <f>AF22</f>
        <v>1783.28</v>
      </c>
      <c r="DA22">
        <f>AJ22</f>
        <v>1</v>
      </c>
      <c r="DB22">
        <f>ROUND((ROUND(AT22*CZ22,2)*2),6)</f>
        <v>2353.92</v>
      </c>
      <c r="DC22">
        <f>ROUND((ROUND(AT22*AG22,2)*2),6)</f>
        <v>1112.58</v>
      </c>
      <c r="DD22" t="s">
        <v>3</v>
      </c>
      <c r="DE22" t="s">
        <v>3</v>
      </c>
      <c r="DF22">
        <f t="shared" si="3"/>
        <v>0</v>
      </c>
      <c r="DG22">
        <f t="shared" si="4"/>
        <v>385424.92</v>
      </c>
      <c r="DH22">
        <f t="shared" si="5"/>
        <v>182171.68</v>
      </c>
      <c r="DI22">
        <f t="shared" si="6"/>
        <v>0</v>
      </c>
      <c r="DJ22">
        <f>DG22</f>
        <v>385424.92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5">
      <c r="A23">
        <f>ROW(Source!A83)</f>
        <v>83</v>
      </c>
      <c r="B23">
        <v>80889179</v>
      </c>
      <c r="C23">
        <v>80889446</v>
      </c>
      <c r="D23">
        <v>80215394</v>
      </c>
      <c r="E23">
        <v>1</v>
      </c>
      <c r="F23">
        <v>1</v>
      </c>
      <c r="G23">
        <v>15514512</v>
      </c>
      <c r="H23">
        <v>3</v>
      </c>
      <c r="I23" t="s">
        <v>180</v>
      </c>
      <c r="J23" t="s">
        <v>181</v>
      </c>
      <c r="K23" t="s">
        <v>182</v>
      </c>
      <c r="L23">
        <v>1296</v>
      </c>
      <c r="N23">
        <v>1002</v>
      </c>
      <c r="O23" t="s">
        <v>183</v>
      </c>
      <c r="P23" t="s">
        <v>183</v>
      </c>
      <c r="Q23">
        <v>1</v>
      </c>
      <c r="W23">
        <v>0</v>
      </c>
      <c r="X23">
        <v>427032128</v>
      </c>
      <c r="Y23">
        <f>(AT23*2)</f>
        <v>2.2400000000000002</v>
      </c>
      <c r="AA23">
        <v>256.36</v>
      </c>
      <c r="AB23">
        <v>0</v>
      </c>
      <c r="AC23">
        <v>0</v>
      </c>
      <c r="AD23">
        <v>0</v>
      </c>
      <c r="AE23">
        <v>256.36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1.1200000000000001</v>
      </c>
      <c r="AU23" t="s">
        <v>136</v>
      </c>
      <c r="AV23">
        <v>0</v>
      </c>
      <c r="AW23">
        <v>2</v>
      </c>
      <c r="AX23">
        <v>80889584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ROUND(Y23*Source!I83,9)</f>
        <v>366.77045440000001</v>
      </c>
      <c r="CY23">
        <f>AA23</f>
        <v>256.36</v>
      </c>
      <c r="CZ23">
        <f>AE23</f>
        <v>256.36</v>
      </c>
      <c r="DA23">
        <f>AI23</f>
        <v>1</v>
      </c>
      <c r="DB23">
        <f>ROUND((ROUND(AT23*CZ23,2)*2),6)</f>
        <v>574.24</v>
      </c>
      <c r="DC23">
        <f>ROUND((ROUND(AT23*AG23,2)*2),6)</f>
        <v>0</v>
      </c>
      <c r="DD23" t="s">
        <v>3</v>
      </c>
      <c r="DE23" t="s">
        <v>3</v>
      </c>
      <c r="DF23">
        <f t="shared" si="3"/>
        <v>94025.27</v>
      </c>
      <c r="DG23">
        <f t="shared" si="4"/>
        <v>0</v>
      </c>
      <c r="DH23">
        <f t="shared" si="5"/>
        <v>0</v>
      </c>
      <c r="DI23">
        <f t="shared" si="6"/>
        <v>0</v>
      </c>
      <c r="DJ23">
        <f>DF23</f>
        <v>94025.27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5">
      <c r="A24">
        <f>ROW(Source!A83)</f>
        <v>83</v>
      </c>
      <c r="B24">
        <v>80889179</v>
      </c>
      <c r="C24">
        <v>80889446</v>
      </c>
      <c r="D24">
        <v>80215470</v>
      </c>
      <c r="E24">
        <v>1</v>
      </c>
      <c r="F24">
        <v>1</v>
      </c>
      <c r="G24">
        <v>15514512</v>
      </c>
      <c r="H24">
        <v>3</v>
      </c>
      <c r="I24" t="s">
        <v>36</v>
      </c>
      <c r="J24" t="s">
        <v>39</v>
      </c>
      <c r="K24" t="s">
        <v>37</v>
      </c>
      <c r="L24">
        <v>1339</v>
      </c>
      <c r="N24">
        <v>1007</v>
      </c>
      <c r="O24" t="s">
        <v>38</v>
      </c>
      <c r="P24" t="s">
        <v>38</v>
      </c>
      <c r="Q24">
        <v>1</v>
      </c>
      <c r="W24">
        <v>1</v>
      </c>
      <c r="X24">
        <v>2112060389</v>
      </c>
      <c r="Y24">
        <f>(AT24*2)</f>
        <v>-2.2400000000000002</v>
      </c>
      <c r="AA24">
        <v>54.81</v>
      </c>
      <c r="AB24">
        <v>0</v>
      </c>
      <c r="AC24">
        <v>0</v>
      </c>
      <c r="AD24">
        <v>0</v>
      </c>
      <c r="AE24">
        <v>54.81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-1.1200000000000001</v>
      </c>
      <c r="AU24" t="s">
        <v>136</v>
      </c>
      <c r="AV24">
        <v>0</v>
      </c>
      <c r="AW24">
        <v>2</v>
      </c>
      <c r="AX24">
        <v>80889585</v>
      </c>
      <c r="AY24">
        <v>1</v>
      </c>
      <c r="AZ24">
        <v>6144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ROUND(Y24*Source!I83,9)</f>
        <v>-366.77045440000001</v>
      </c>
      <c r="CY24">
        <f>AA24</f>
        <v>54.81</v>
      </c>
      <c r="CZ24">
        <f>AE24</f>
        <v>54.81</v>
      </c>
      <c r="DA24">
        <f>AI24</f>
        <v>1</v>
      </c>
      <c r="DB24">
        <f>ROUND((ROUND(AT24*CZ24,2)*2),6)</f>
        <v>-122.78</v>
      </c>
      <c r="DC24">
        <f>ROUND((ROUND(AT24*AG24,2)*2),6)</f>
        <v>0</v>
      </c>
      <c r="DD24" t="s">
        <v>3</v>
      </c>
      <c r="DE24" t="s">
        <v>3</v>
      </c>
      <c r="DF24">
        <f t="shared" si="3"/>
        <v>-20102.689999999999</v>
      </c>
      <c r="DG24">
        <f t="shared" si="4"/>
        <v>0</v>
      </c>
      <c r="DH24">
        <f t="shared" si="5"/>
        <v>0</v>
      </c>
      <c r="DI24">
        <f t="shared" si="6"/>
        <v>0</v>
      </c>
      <c r="DJ24">
        <f>DF24</f>
        <v>-20102.689999999999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5">
      <c r="A25">
        <f>ROW(Source!A120)</f>
        <v>120</v>
      </c>
      <c r="B25">
        <v>80889179</v>
      </c>
      <c r="C25">
        <v>80889514</v>
      </c>
      <c r="D25">
        <v>80199986</v>
      </c>
      <c r="E25">
        <v>15514512</v>
      </c>
      <c r="F25">
        <v>1</v>
      </c>
      <c r="G25">
        <v>15514512</v>
      </c>
      <c r="H25">
        <v>1</v>
      </c>
      <c r="I25" t="s">
        <v>164</v>
      </c>
      <c r="J25" t="s">
        <v>3</v>
      </c>
      <c r="K25" t="s">
        <v>165</v>
      </c>
      <c r="L25">
        <v>1191</v>
      </c>
      <c r="N25">
        <v>1013</v>
      </c>
      <c r="O25" t="s">
        <v>166</v>
      </c>
      <c r="P25" t="s">
        <v>166</v>
      </c>
      <c r="Q25">
        <v>1</v>
      </c>
      <c r="W25">
        <v>0</v>
      </c>
      <c r="X25">
        <v>476480486</v>
      </c>
      <c r="Y25">
        <f>(AT25*56)</f>
        <v>2.8000000000000003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0.05</v>
      </c>
      <c r="AU25" t="s">
        <v>141</v>
      </c>
      <c r="AV25">
        <v>1</v>
      </c>
      <c r="AW25">
        <v>2</v>
      </c>
      <c r="AX25">
        <v>80889593</v>
      </c>
      <c r="AY25">
        <v>1</v>
      </c>
      <c r="AZ25">
        <v>2048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ROUND(AT25*Source!I120*AH25*AL25,2)</f>
        <v>0</v>
      </c>
      <c r="CV25">
        <f>ROUND(Y25*Source!I120,9)</f>
        <v>2380.5535599999998</v>
      </c>
      <c r="CW25">
        <v>0</v>
      </c>
      <c r="CX25">
        <f>ROUND(Y25*Source!I120,9)</f>
        <v>2380.5535599999998</v>
      </c>
      <c r="CY25">
        <f>AD25</f>
        <v>0</v>
      </c>
      <c r="CZ25">
        <f>AH25</f>
        <v>0</v>
      </c>
      <c r="DA25">
        <f>AL25</f>
        <v>1</v>
      </c>
      <c r="DB25">
        <f>ROUND((ROUND(AT25*CZ25,2)*56),6)</f>
        <v>0</v>
      </c>
      <c r="DC25">
        <f>ROUND((ROUND(AT25*AG25,2)*56),6)</f>
        <v>0</v>
      </c>
      <c r="DD25" t="s">
        <v>3</v>
      </c>
      <c r="DE25" t="s">
        <v>3</v>
      </c>
      <c r="DF25">
        <f t="shared" si="3"/>
        <v>0</v>
      </c>
      <c r="DG25">
        <f t="shared" si="4"/>
        <v>0</v>
      </c>
      <c r="DH25">
        <f t="shared" si="5"/>
        <v>0</v>
      </c>
      <c r="DI25">
        <f t="shared" si="6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5">
      <c r="A26">
        <f>ROW(Source!A120)</f>
        <v>120</v>
      </c>
      <c r="B26">
        <v>80889179</v>
      </c>
      <c r="C26">
        <v>80889514</v>
      </c>
      <c r="D26">
        <v>80215861</v>
      </c>
      <c r="E26">
        <v>1</v>
      </c>
      <c r="F26">
        <v>1</v>
      </c>
      <c r="G26">
        <v>15514512</v>
      </c>
      <c r="H26">
        <v>3</v>
      </c>
      <c r="I26" t="s">
        <v>184</v>
      </c>
      <c r="J26" t="s">
        <v>185</v>
      </c>
      <c r="K26" t="s">
        <v>186</v>
      </c>
      <c r="L26">
        <v>1354</v>
      </c>
      <c r="N26">
        <v>1010</v>
      </c>
      <c r="O26" t="s">
        <v>187</v>
      </c>
      <c r="P26" t="s">
        <v>187</v>
      </c>
      <c r="Q26">
        <v>1</v>
      </c>
      <c r="W26">
        <v>0</v>
      </c>
      <c r="X26">
        <v>1239831338</v>
      </c>
      <c r="Y26">
        <f>(AT26*56)</f>
        <v>5.6000000000000005</v>
      </c>
      <c r="AA26">
        <v>9.1</v>
      </c>
      <c r="AB26">
        <v>0</v>
      </c>
      <c r="AC26">
        <v>0</v>
      </c>
      <c r="AD26">
        <v>0</v>
      </c>
      <c r="AE26">
        <v>9.1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0.1</v>
      </c>
      <c r="AU26" t="s">
        <v>141</v>
      </c>
      <c r="AV26">
        <v>0</v>
      </c>
      <c r="AW26">
        <v>2</v>
      </c>
      <c r="AX26">
        <v>80889594</v>
      </c>
      <c r="AY26">
        <v>1</v>
      </c>
      <c r="AZ26">
        <v>2048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ROUND(Y26*Source!I120,9)</f>
        <v>4761.1071199999997</v>
      </c>
      <c r="CY26">
        <f>AA26</f>
        <v>9.1</v>
      </c>
      <c r="CZ26">
        <f>AE26</f>
        <v>9.1</v>
      </c>
      <c r="DA26">
        <f>AI26</f>
        <v>1</v>
      </c>
      <c r="DB26">
        <f>ROUND((ROUND(AT26*CZ26,2)*56),6)</f>
        <v>50.96</v>
      </c>
      <c r="DC26">
        <f>ROUND((ROUND(AT26*AG26,2)*56),6)</f>
        <v>0</v>
      </c>
      <c r="DD26" t="s">
        <v>3</v>
      </c>
      <c r="DE26" t="s">
        <v>3</v>
      </c>
      <c r="DF26">
        <f t="shared" si="3"/>
        <v>43326.07</v>
      </c>
      <c r="DG26">
        <f t="shared" si="4"/>
        <v>0</v>
      </c>
      <c r="DH26">
        <f t="shared" si="5"/>
        <v>0</v>
      </c>
      <c r="DI26">
        <f t="shared" si="6"/>
        <v>0</v>
      </c>
      <c r="DJ26">
        <f>DF26</f>
        <v>43326.07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5">
      <c r="A27">
        <f>ROW(Source!A121)</f>
        <v>121</v>
      </c>
      <c r="B27">
        <v>80889179</v>
      </c>
      <c r="C27">
        <v>80889515</v>
      </c>
      <c r="D27">
        <v>80199986</v>
      </c>
      <c r="E27">
        <v>15514512</v>
      </c>
      <c r="F27">
        <v>1</v>
      </c>
      <c r="G27">
        <v>15514512</v>
      </c>
      <c r="H27">
        <v>1</v>
      </c>
      <c r="I27" t="s">
        <v>164</v>
      </c>
      <c r="J27" t="s">
        <v>3</v>
      </c>
      <c r="K27" t="s">
        <v>165</v>
      </c>
      <c r="L27">
        <v>1191</v>
      </c>
      <c r="N27">
        <v>1013</v>
      </c>
      <c r="O27" t="s">
        <v>166</v>
      </c>
      <c r="P27" t="s">
        <v>166</v>
      </c>
      <c r="Q27">
        <v>1</v>
      </c>
      <c r="W27">
        <v>0</v>
      </c>
      <c r="X27">
        <v>476480486</v>
      </c>
      <c r="Y27">
        <f>(AT27*5)</f>
        <v>4.9000000000000004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0.98</v>
      </c>
      <c r="AU27" t="s">
        <v>146</v>
      </c>
      <c r="AV27">
        <v>1</v>
      </c>
      <c r="AW27">
        <v>2</v>
      </c>
      <c r="AX27">
        <v>80889595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U27">
        <f>ROUND(AT27*Source!I121*AH27*AL27,2)</f>
        <v>0</v>
      </c>
      <c r="CV27">
        <f>ROUND(Y27*Source!I121,9)</f>
        <v>8331.9374599999992</v>
      </c>
      <c r="CW27">
        <v>0</v>
      </c>
      <c r="CX27">
        <f>ROUND(Y27*Source!I121,9)</f>
        <v>8331.9374599999992</v>
      </c>
      <c r="CY27">
        <f>AD27</f>
        <v>0</v>
      </c>
      <c r="CZ27">
        <f>AH27</f>
        <v>0</v>
      </c>
      <c r="DA27">
        <f>AL27</f>
        <v>1</v>
      </c>
      <c r="DB27">
        <f>ROUND((ROUND(AT27*CZ27,2)*5),6)</f>
        <v>0</v>
      </c>
      <c r="DC27">
        <f>ROUND((ROUND(AT27*AG27,2)*5),6)</f>
        <v>0</v>
      </c>
      <c r="DD27" t="s">
        <v>3</v>
      </c>
      <c r="DE27" t="s">
        <v>3</v>
      </c>
      <c r="DF27">
        <f t="shared" si="3"/>
        <v>0</v>
      </c>
      <c r="DG27">
        <f t="shared" si="4"/>
        <v>0</v>
      </c>
      <c r="DH27">
        <f t="shared" si="5"/>
        <v>0</v>
      </c>
      <c r="DI27">
        <f t="shared" si="6"/>
        <v>0</v>
      </c>
      <c r="DJ27">
        <f>DI27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5">
      <c r="A28">
        <f>ROW(Source!A121)</f>
        <v>121</v>
      </c>
      <c r="B28">
        <v>80889179</v>
      </c>
      <c r="C28">
        <v>80889515</v>
      </c>
      <c r="D28">
        <v>80213130</v>
      </c>
      <c r="E28">
        <v>1</v>
      </c>
      <c r="F28">
        <v>1</v>
      </c>
      <c r="G28">
        <v>15514512</v>
      </c>
      <c r="H28">
        <v>2</v>
      </c>
      <c r="I28" t="s">
        <v>188</v>
      </c>
      <c r="J28" t="s">
        <v>189</v>
      </c>
      <c r="K28" t="s">
        <v>190</v>
      </c>
      <c r="L28">
        <v>1368</v>
      </c>
      <c r="N28">
        <v>1011</v>
      </c>
      <c r="O28" t="s">
        <v>163</v>
      </c>
      <c r="P28" t="s">
        <v>163</v>
      </c>
      <c r="Q28">
        <v>1</v>
      </c>
      <c r="W28">
        <v>0</v>
      </c>
      <c r="X28">
        <v>398049849</v>
      </c>
      <c r="Y28">
        <f>(AT28*5)</f>
        <v>3.75</v>
      </c>
      <c r="AA28">
        <v>0</v>
      </c>
      <c r="AB28">
        <v>32.590000000000003</v>
      </c>
      <c r="AC28">
        <v>3.28</v>
      </c>
      <c r="AD28">
        <v>0</v>
      </c>
      <c r="AE28">
        <v>0</v>
      </c>
      <c r="AF28">
        <v>32.590000000000003</v>
      </c>
      <c r="AG28">
        <v>3.28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0.75</v>
      </c>
      <c r="AU28" t="s">
        <v>146</v>
      </c>
      <c r="AV28">
        <v>0</v>
      </c>
      <c r="AW28">
        <v>2</v>
      </c>
      <c r="AX28">
        <v>80889596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f>ROUND(Y28*Source!I121*DO28,9)</f>
        <v>0</v>
      </c>
      <c r="CX28">
        <f>ROUND(Y28*Source!I121,9)</f>
        <v>6376.4827500000001</v>
      </c>
      <c r="CY28">
        <f>AB28</f>
        <v>32.590000000000003</v>
      </c>
      <c r="CZ28">
        <f>AF28</f>
        <v>32.590000000000003</v>
      </c>
      <c r="DA28">
        <f>AJ28</f>
        <v>1</v>
      </c>
      <c r="DB28">
        <f>ROUND((ROUND(AT28*CZ28,2)*5),6)</f>
        <v>122.2</v>
      </c>
      <c r="DC28">
        <f>ROUND((ROUND(AT28*AG28,2)*5),6)</f>
        <v>12.3</v>
      </c>
      <c r="DD28" t="s">
        <v>3</v>
      </c>
      <c r="DE28" t="s">
        <v>3</v>
      </c>
      <c r="DF28">
        <f t="shared" si="3"/>
        <v>0</v>
      </c>
      <c r="DG28">
        <f t="shared" si="4"/>
        <v>207809.57</v>
      </c>
      <c r="DH28">
        <f t="shared" si="5"/>
        <v>20914.86</v>
      </c>
      <c r="DI28">
        <f t="shared" si="6"/>
        <v>0</v>
      </c>
      <c r="DJ28">
        <f>DG28</f>
        <v>207809.57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5">
      <c r="A29">
        <f>ROW(Source!A122)</f>
        <v>122</v>
      </c>
      <c r="B29">
        <v>80889179</v>
      </c>
      <c r="C29">
        <v>80889516</v>
      </c>
      <c r="D29">
        <v>80199986</v>
      </c>
      <c r="E29">
        <v>15514512</v>
      </c>
      <c r="F29">
        <v>1</v>
      </c>
      <c r="G29">
        <v>15514512</v>
      </c>
      <c r="H29">
        <v>1</v>
      </c>
      <c r="I29" t="s">
        <v>164</v>
      </c>
      <c r="J29" t="s">
        <v>3</v>
      </c>
      <c r="K29" t="s">
        <v>165</v>
      </c>
      <c r="L29">
        <v>1191</v>
      </c>
      <c r="N29">
        <v>1013</v>
      </c>
      <c r="O29" t="s">
        <v>166</v>
      </c>
      <c r="P29" t="s">
        <v>166</v>
      </c>
      <c r="Q29">
        <v>1</v>
      </c>
      <c r="W29">
        <v>0</v>
      </c>
      <c r="X29">
        <v>476480486</v>
      </c>
      <c r="Y29">
        <f>(AT29*2)</f>
        <v>1.1200000000000001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0.56000000000000005</v>
      </c>
      <c r="AU29" t="s">
        <v>136</v>
      </c>
      <c r="AV29">
        <v>1</v>
      </c>
      <c r="AW29">
        <v>2</v>
      </c>
      <c r="AX29">
        <v>80889597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U29">
        <f>ROUND(AT29*Source!I122*AH29*AL29,2)</f>
        <v>0</v>
      </c>
      <c r="CV29">
        <f>ROUND(Y29*Source!I122,9)</f>
        <v>1086.1580799999999</v>
      </c>
      <c r="CW29">
        <v>0</v>
      </c>
      <c r="CX29">
        <f>ROUND(Y29*Source!I122,9)</f>
        <v>1086.1580799999999</v>
      </c>
      <c r="CY29">
        <f>AD29</f>
        <v>0</v>
      </c>
      <c r="CZ29">
        <f>AH29</f>
        <v>0</v>
      </c>
      <c r="DA29">
        <f>AL29</f>
        <v>1</v>
      </c>
      <c r="DB29">
        <f>ROUND((ROUND(AT29*CZ29,2)*2),6)</f>
        <v>0</v>
      </c>
      <c r="DC29">
        <f>ROUND((ROUND(AT29*AG29,2)*2),6)</f>
        <v>0</v>
      </c>
      <c r="DD29" t="s">
        <v>3</v>
      </c>
      <c r="DE29" t="s">
        <v>3</v>
      </c>
      <c r="DF29">
        <f t="shared" si="3"/>
        <v>0</v>
      </c>
      <c r="DG29">
        <f t="shared" si="4"/>
        <v>0</v>
      </c>
      <c r="DH29">
        <f t="shared" si="5"/>
        <v>0</v>
      </c>
      <c r="DI29">
        <f t="shared" si="6"/>
        <v>0</v>
      </c>
      <c r="DJ29">
        <f>DI29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5">
      <c r="A30">
        <f>ROW(Source!A122)</f>
        <v>122</v>
      </c>
      <c r="B30">
        <v>80889179</v>
      </c>
      <c r="C30">
        <v>80889516</v>
      </c>
      <c r="D30">
        <v>80212805</v>
      </c>
      <c r="E30">
        <v>1</v>
      </c>
      <c r="F30">
        <v>1</v>
      </c>
      <c r="G30">
        <v>15514512</v>
      </c>
      <c r="H30">
        <v>2</v>
      </c>
      <c r="I30" t="s">
        <v>191</v>
      </c>
      <c r="J30" t="s">
        <v>192</v>
      </c>
      <c r="K30" t="s">
        <v>193</v>
      </c>
      <c r="L30">
        <v>1368</v>
      </c>
      <c r="N30">
        <v>1011</v>
      </c>
      <c r="O30" t="s">
        <v>163</v>
      </c>
      <c r="P30" t="s">
        <v>163</v>
      </c>
      <c r="Q30">
        <v>1</v>
      </c>
      <c r="W30">
        <v>0</v>
      </c>
      <c r="X30">
        <v>-1652508930</v>
      </c>
      <c r="Y30">
        <f>(AT30*2)</f>
        <v>0.6</v>
      </c>
      <c r="AA30">
        <v>0</v>
      </c>
      <c r="AB30">
        <v>2997.56</v>
      </c>
      <c r="AC30">
        <v>1034.8599999999999</v>
      </c>
      <c r="AD30">
        <v>0</v>
      </c>
      <c r="AE30">
        <v>0</v>
      </c>
      <c r="AF30">
        <v>2997.56</v>
      </c>
      <c r="AG30">
        <v>1034.8599999999999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0.3</v>
      </c>
      <c r="AU30" t="s">
        <v>136</v>
      </c>
      <c r="AV30">
        <v>0</v>
      </c>
      <c r="AW30">
        <v>2</v>
      </c>
      <c r="AX30">
        <v>80889598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f>ROUND(Y30*Source!I122*DO30,9)</f>
        <v>0</v>
      </c>
      <c r="CX30">
        <f>ROUND(Y30*Source!I122,9)</f>
        <v>581.87040000000002</v>
      </c>
      <c r="CY30">
        <f>AB30</f>
        <v>2997.56</v>
      </c>
      <c r="CZ30">
        <f>AF30</f>
        <v>2997.56</v>
      </c>
      <c r="DA30">
        <f>AJ30</f>
        <v>1</v>
      </c>
      <c r="DB30">
        <f>ROUND((ROUND(AT30*CZ30,2)*2),6)</f>
        <v>1798.54</v>
      </c>
      <c r="DC30">
        <f>ROUND((ROUND(AT30*AG30,2)*2),6)</f>
        <v>620.91999999999996</v>
      </c>
      <c r="DD30" t="s">
        <v>3</v>
      </c>
      <c r="DE30" t="s">
        <v>3</v>
      </c>
      <c r="DF30">
        <f t="shared" si="3"/>
        <v>0</v>
      </c>
      <c r="DG30">
        <f t="shared" si="4"/>
        <v>1744191.44</v>
      </c>
      <c r="DH30">
        <f t="shared" si="5"/>
        <v>602154.4</v>
      </c>
      <c r="DI30">
        <f t="shared" si="6"/>
        <v>0</v>
      </c>
      <c r="DJ30">
        <f>DG30</f>
        <v>1744191.44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5">
      <c r="A31">
        <f>ROW(Source!A122)</f>
        <v>122</v>
      </c>
      <c r="B31">
        <v>80889179</v>
      </c>
      <c r="C31">
        <v>80889516</v>
      </c>
      <c r="D31">
        <v>80215470</v>
      </c>
      <c r="E31">
        <v>1</v>
      </c>
      <c r="F31">
        <v>1</v>
      </c>
      <c r="G31">
        <v>15514512</v>
      </c>
      <c r="H31">
        <v>3</v>
      </c>
      <c r="I31" t="s">
        <v>36</v>
      </c>
      <c r="J31" t="s">
        <v>39</v>
      </c>
      <c r="K31" t="s">
        <v>37</v>
      </c>
      <c r="L31">
        <v>1339</v>
      </c>
      <c r="N31">
        <v>1007</v>
      </c>
      <c r="O31" t="s">
        <v>38</v>
      </c>
      <c r="P31" t="s">
        <v>38</v>
      </c>
      <c r="Q31">
        <v>1</v>
      </c>
      <c r="W31">
        <v>1</v>
      </c>
      <c r="X31">
        <v>2112060389</v>
      </c>
      <c r="Y31">
        <f>(AT31*2)</f>
        <v>-2</v>
      </c>
      <c r="AA31">
        <v>54.81</v>
      </c>
      <c r="AB31">
        <v>0</v>
      </c>
      <c r="AC31">
        <v>0</v>
      </c>
      <c r="AD31">
        <v>0</v>
      </c>
      <c r="AE31">
        <v>54.81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-1</v>
      </c>
      <c r="AU31" t="s">
        <v>136</v>
      </c>
      <c r="AV31">
        <v>0</v>
      </c>
      <c r="AW31">
        <v>2</v>
      </c>
      <c r="AX31">
        <v>80889599</v>
      </c>
      <c r="AY31">
        <v>1</v>
      </c>
      <c r="AZ31">
        <v>6144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ROUND(Y31*Source!I122,9)</f>
        <v>-1939.568</v>
      </c>
      <c r="CY31">
        <f>AA31</f>
        <v>54.81</v>
      </c>
      <c r="CZ31">
        <f>AE31</f>
        <v>54.81</v>
      </c>
      <c r="DA31">
        <f>AI31</f>
        <v>1</v>
      </c>
      <c r="DB31">
        <f>ROUND((ROUND(AT31*CZ31,2)*2),6)</f>
        <v>-109.62</v>
      </c>
      <c r="DC31">
        <f>ROUND((ROUND(AT31*AG31,2)*2),6)</f>
        <v>0</v>
      </c>
      <c r="DD31" t="s">
        <v>3</v>
      </c>
      <c r="DE31" t="s">
        <v>3</v>
      </c>
      <c r="DF31">
        <f t="shared" si="3"/>
        <v>-106307.72</v>
      </c>
      <c r="DG31">
        <f t="shared" si="4"/>
        <v>0</v>
      </c>
      <c r="DH31">
        <f t="shared" si="5"/>
        <v>0</v>
      </c>
      <c r="DI31">
        <f t="shared" si="6"/>
        <v>0</v>
      </c>
      <c r="DJ31">
        <f>DF31</f>
        <v>-106307.72</v>
      </c>
      <c r="DK31">
        <v>0</v>
      </c>
      <c r="DL31" t="s">
        <v>3</v>
      </c>
      <c r="DM31">
        <v>0</v>
      </c>
      <c r="DN31" t="s">
        <v>3</v>
      </c>
      <c r="DO3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6895F-953F-44AF-BAED-52AFAC867978}">
  <dimension ref="A1:AR31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ROW(Source!A32)</f>
        <v>32</v>
      </c>
      <c r="B1">
        <v>80889559</v>
      </c>
      <c r="C1">
        <v>80889366</v>
      </c>
      <c r="D1">
        <v>80213220</v>
      </c>
      <c r="E1">
        <v>1</v>
      </c>
      <c r="F1">
        <v>1</v>
      </c>
      <c r="G1">
        <v>15514512</v>
      </c>
      <c r="H1">
        <v>2</v>
      </c>
      <c r="I1" t="s">
        <v>160</v>
      </c>
      <c r="J1" t="s">
        <v>161</v>
      </c>
      <c r="K1" t="s">
        <v>162</v>
      </c>
      <c r="L1">
        <v>1368</v>
      </c>
      <c r="N1">
        <v>1011</v>
      </c>
      <c r="O1" t="s">
        <v>163</v>
      </c>
      <c r="P1" t="s">
        <v>163</v>
      </c>
      <c r="Q1">
        <v>1</v>
      </c>
      <c r="X1">
        <v>0.5</v>
      </c>
      <c r="Y1">
        <v>0</v>
      </c>
      <c r="Z1">
        <v>2515.98</v>
      </c>
      <c r="AA1">
        <v>872.98</v>
      </c>
      <c r="AB1">
        <v>0</v>
      </c>
      <c r="AC1">
        <v>0</v>
      </c>
      <c r="AD1">
        <v>1</v>
      </c>
      <c r="AE1">
        <v>0</v>
      </c>
      <c r="AF1" t="s">
        <v>22</v>
      </c>
      <c r="AG1">
        <v>27.5</v>
      </c>
      <c r="AH1">
        <v>2</v>
      </c>
      <c r="AI1">
        <v>80889559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ROW(Source!A33)</f>
        <v>33</v>
      </c>
      <c r="B2">
        <v>80889561</v>
      </c>
      <c r="C2">
        <v>80889367</v>
      </c>
      <c r="D2">
        <v>80199986</v>
      </c>
      <c r="E2">
        <v>15514512</v>
      </c>
      <c r="F2">
        <v>1</v>
      </c>
      <c r="G2">
        <v>15514512</v>
      </c>
      <c r="H2">
        <v>1</v>
      </c>
      <c r="I2" t="s">
        <v>164</v>
      </c>
      <c r="J2" t="s">
        <v>3</v>
      </c>
      <c r="K2" t="s">
        <v>165</v>
      </c>
      <c r="L2">
        <v>1191</v>
      </c>
      <c r="N2">
        <v>1013</v>
      </c>
      <c r="O2" t="s">
        <v>166</v>
      </c>
      <c r="P2" t="s">
        <v>166</v>
      </c>
      <c r="Q2">
        <v>1</v>
      </c>
      <c r="X2">
        <v>0.65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22</v>
      </c>
      <c r="AG2">
        <v>35.75</v>
      </c>
      <c r="AH2">
        <v>2</v>
      </c>
      <c r="AI2">
        <v>80889561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ROW(Source!A34)</f>
        <v>34</v>
      </c>
      <c r="B3">
        <v>80889562</v>
      </c>
      <c r="C3">
        <v>80889368</v>
      </c>
      <c r="D3">
        <v>80213221</v>
      </c>
      <c r="E3">
        <v>1</v>
      </c>
      <c r="F3">
        <v>1</v>
      </c>
      <c r="G3">
        <v>15514512</v>
      </c>
      <c r="H3">
        <v>2</v>
      </c>
      <c r="I3" t="s">
        <v>167</v>
      </c>
      <c r="J3" t="s">
        <v>168</v>
      </c>
      <c r="K3" t="s">
        <v>169</v>
      </c>
      <c r="L3">
        <v>1368</v>
      </c>
      <c r="N3">
        <v>1011</v>
      </c>
      <c r="O3" t="s">
        <v>163</v>
      </c>
      <c r="P3" t="s">
        <v>163</v>
      </c>
      <c r="Q3">
        <v>1</v>
      </c>
      <c r="X3">
        <v>0.26</v>
      </c>
      <c r="Y3">
        <v>0</v>
      </c>
      <c r="Z3">
        <v>1783.28</v>
      </c>
      <c r="AA3">
        <v>842.87</v>
      </c>
      <c r="AB3">
        <v>0</v>
      </c>
      <c r="AC3">
        <v>0</v>
      </c>
      <c r="AD3">
        <v>1</v>
      </c>
      <c r="AE3">
        <v>0</v>
      </c>
      <c r="AF3" t="s">
        <v>22</v>
      </c>
      <c r="AG3">
        <v>14.3</v>
      </c>
      <c r="AH3">
        <v>2</v>
      </c>
      <c r="AI3">
        <v>80889562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ROW(Source!A34)</f>
        <v>34</v>
      </c>
      <c r="B4">
        <v>80889563</v>
      </c>
      <c r="C4">
        <v>80889368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36</v>
      </c>
      <c r="J4" t="s">
        <v>39</v>
      </c>
      <c r="K4" t="s">
        <v>37</v>
      </c>
      <c r="L4">
        <v>1339</v>
      </c>
      <c r="N4">
        <v>1007</v>
      </c>
      <c r="O4" t="s">
        <v>38</v>
      </c>
      <c r="P4" t="s">
        <v>38</v>
      </c>
      <c r="Q4">
        <v>1</v>
      </c>
      <c r="X4">
        <v>0.2</v>
      </c>
      <c r="Y4">
        <v>54.81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22</v>
      </c>
      <c r="AG4">
        <v>11</v>
      </c>
      <c r="AH4">
        <v>2</v>
      </c>
      <c r="AI4">
        <v>80889563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ROW(Source!A36)</f>
        <v>36</v>
      </c>
      <c r="B5">
        <v>80889565</v>
      </c>
      <c r="C5">
        <v>80889369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164</v>
      </c>
      <c r="J5" t="s">
        <v>3</v>
      </c>
      <c r="K5" t="s">
        <v>165</v>
      </c>
      <c r="L5">
        <v>1191</v>
      </c>
      <c r="N5">
        <v>1013</v>
      </c>
      <c r="O5" t="s">
        <v>166</v>
      </c>
      <c r="P5" t="s">
        <v>166</v>
      </c>
      <c r="Q5">
        <v>1</v>
      </c>
      <c r="X5">
        <v>0.14000000000000001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22</v>
      </c>
      <c r="AG5">
        <v>7.7000000000000011</v>
      </c>
      <c r="AH5">
        <v>2</v>
      </c>
      <c r="AI5">
        <v>80889565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ROW(Source!A37)</f>
        <v>37</v>
      </c>
      <c r="B6">
        <v>80889566</v>
      </c>
      <c r="C6">
        <v>80889370</v>
      </c>
      <c r="D6">
        <v>80199986</v>
      </c>
      <c r="E6">
        <v>15514512</v>
      </c>
      <c r="F6">
        <v>1</v>
      </c>
      <c r="G6">
        <v>15514512</v>
      </c>
      <c r="H6">
        <v>1</v>
      </c>
      <c r="I6" t="s">
        <v>164</v>
      </c>
      <c r="J6" t="s">
        <v>3</v>
      </c>
      <c r="K6" t="s">
        <v>165</v>
      </c>
      <c r="L6">
        <v>1191</v>
      </c>
      <c r="N6">
        <v>1013</v>
      </c>
      <c r="O6" t="s">
        <v>166</v>
      </c>
      <c r="P6" t="s">
        <v>166</v>
      </c>
      <c r="Q6">
        <v>1</v>
      </c>
      <c r="X6">
        <v>0.24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22</v>
      </c>
      <c r="AG6">
        <v>13.2</v>
      </c>
      <c r="AH6">
        <v>2</v>
      </c>
      <c r="AI6">
        <v>80889566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ROW(Source!A38)</f>
        <v>38</v>
      </c>
      <c r="B7">
        <v>80889567</v>
      </c>
      <c r="C7">
        <v>80889373</v>
      </c>
      <c r="D7">
        <v>80199986</v>
      </c>
      <c r="E7">
        <v>15514512</v>
      </c>
      <c r="F7">
        <v>1</v>
      </c>
      <c r="G7">
        <v>15514512</v>
      </c>
      <c r="H7">
        <v>1</v>
      </c>
      <c r="I7" t="s">
        <v>164</v>
      </c>
      <c r="J7" t="s">
        <v>3</v>
      </c>
      <c r="K7" t="s">
        <v>165</v>
      </c>
      <c r="L7">
        <v>1191</v>
      </c>
      <c r="N7">
        <v>1013</v>
      </c>
      <c r="O7" t="s">
        <v>166</v>
      </c>
      <c r="P7" t="s">
        <v>166</v>
      </c>
      <c r="Q7">
        <v>1</v>
      </c>
      <c r="X7">
        <v>0.3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52</v>
      </c>
      <c r="AG7">
        <v>6</v>
      </c>
      <c r="AH7">
        <v>2</v>
      </c>
      <c r="AI7">
        <v>80889567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ROW(Source!A38)</f>
        <v>38</v>
      </c>
      <c r="B8">
        <v>80889568</v>
      </c>
      <c r="C8">
        <v>80889373</v>
      </c>
      <c r="D8">
        <v>80216195</v>
      </c>
      <c r="E8">
        <v>1</v>
      </c>
      <c r="F8">
        <v>1</v>
      </c>
      <c r="G8">
        <v>15514512</v>
      </c>
      <c r="H8">
        <v>3</v>
      </c>
      <c r="I8" t="s">
        <v>170</v>
      </c>
      <c r="J8" t="s">
        <v>171</v>
      </c>
      <c r="K8" t="s">
        <v>172</v>
      </c>
      <c r="L8">
        <v>1346</v>
      </c>
      <c r="N8">
        <v>1009</v>
      </c>
      <c r="O8" t="s">
        <v>173</v>
      </c>
      <c r="P8" t="s">
        <v>173</v>
      </c>
      <c r="Q8">
        <v>1</v>
      </c>
      <c r="X8">
        <v>5</v>
      </c>
      <c r="Y8">
        <v>27.3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52</v>
      </c>
      <c r="AG8">
        <v>100</v>
      </c>
      <c r="AH8">
        <v>2</v>
      </c>
      <c r="AI8">
        <v>80889568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ROW(Source!A39)</f>
        <v>39</v>
      </c>
      <c r="B9">
        <v>80889569</v>
      </c>
      <c r="C9">
        <v>80889374</v>
      </c>
      <c r="D9">
        <v>80199986</v>
      </c>
      <c r="E9">
        <v>15514512</v>
      </c>
      <c r="F9">
        <v>1</v>
      </c>
      <c r="G9">
        <v>15514512</v>
      </c>
      <c r="H9">
        <v>1</v>
      </c>
      <c r="I9" t="s">
        <v>164</v>
      </c>
      <c r="J9" t="s">
        <v>3</v>
      </c>
      <c r="K9" t="s">
        <v>165</v>
      </c>
      <c r="L9">
        <v>1191</v>
      </c>
      <c r="N9">
        <v>1013</v>
      </c>
      <c r="O9" t="s">
        <v>166</v>
      </c>
      <c r="P9" t="s">
        <v>166</v>
      </c>
      <c r="Q9">
        <v>1</v>
      </c>
      <c r="X9">
        <v>0.02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52</v>
      </c>
      <c r="AG9">
        <v>0.4</v>
      </c>
      <c r="AH9">
        <v>2</v>
      </c>
      <c r="AI9">
        <v>80889569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ROW(Source!A39)</f>
        <v>39</v>
      </c>
      <c r="B10">
        <v>80889570</v>
      </c>
      <c r="C10">
        <v>80889374</v>
      </c>
      <c r="D10">
        <v>80213219</v>
      </c>
      <c r="E10">
        <v>1</v>
      </c>
      <c r="F10">
        <v>1</v>
      </c>
      <c r="G10">
        <v>15514512</v>
      </c>
      <c r="H10">
        <v>2</v>
      </c>
      <c r="I10" t="s">
        <v>174</v>
      </c>
      <c r="J10" t="s">
        <v>175</v>
      </c>
      <c r="K10" t="s">
        <v>176</v>
      </c>
      <c r="L10">
        <v>1368</v>
      </c>
      <c r="N10">
        <v>1011</v>
      </c>
      <c r="O10" t="s">
        <v>163</v>
      </c>
      <c r="P10" t="s">
        <v>163</v>
      </c>
      <c r="Q10">
        <v>1</v>
      </c>
      <c r="X10">
        <v>0.08</v>
      </c>
      <c r="Y10">
        <v>0</v>
      </c>
      <c r="Z10">
        <v>1988.28</v>
      </c>
      <c r="AA10">
        <v>838.86</v>
      </c>
      <c r="AB10">
        <v>0</v>
      </c>
      <c r="AC10">
        <v>0</v>
      </c>
      <c r="AD10">
        <v>1</v>
      </c>
      <c r="AE10">
        <v>0</v>
      </c>
      <c r="AF10" t="s">
        <v>52</v>
      </c>
      <c r="AG10">
        <v>1.6</v>
      </c>
      <c r="AH10">
        <v>2</v>
      </c>
      <c r="AI10">
        <v>80889570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ROW(Source!A39)</f>
        <v>39</v>
      </c>
      <c r="B11">
        <v>80889571</v>
      </c>
      <c r="C11">
        <v>80889374</v>
      </c>
      <c r="D11">
        <v>80216195</v>
      </c>
      <c r="E11">
        <v>1</v>
      </c>
      <c r="F11">
        <v>1</v>
      </c>
      <c r="G11">
        <v>15514512</v>
      </c>
      <c r="H11">
        <v>3</v>
      </c>
      <c r="I11" t="s">
        <v>170</v>
      </c>
      <c r="J11" t="s">
        <v>171</v>
      </c>
      <c r="K11" t="s">
        <v>172</v>
      </c>
      <c r="L11">
        <v>1346</v>
      </c>
      <c r="N11">
        <v>1009</v>
      </c>
      <c r="O11" t="s">
        <v>173</v>
      </c>
      <c r="P11" t="s">
        <v>173</v>
      </c>
      <c r="Q11">
        <v>1</v>
      </c>
      <c r="X11">
        <v>50</v>
      </c>
      <c r="Y11">
        <v>27.3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52</v>
      </c>
      <c r="AG11">
        <v>1000</v>
      </c>
      <c r="AH11">
        <v>2</v>
      </c>
      <c r="AI11">
        <v>80889571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ROW(Source!A40)</f>
        <v>40</v>
      </c>
      <c r="B12">
        <v>80889572</v>
      </c>
      <c r="C12">
        <v>80889375</v>
      </c>
      <c r="D12">
        <v>80199986</v>
      </c>
      <c r="E12">
        <v>15514512</v>
      </c>
      <c r="F12">
        <v>1</v>
      </c>
      <c r="G12">
        <v>15514512</v>
      </c>
      <c r="H12">
        <v>1</v>
      </c>
      <c r="I12" t="s">
        <v>164</v>
      </c>
      <c r="J12" t="s">
        <v>3</v>
      </c>
      <c r="K12" t="s">
        <v>165</v>
      </c>
      <c r="L12">
        <v>1191</v>
      </c>
      <c r="N12">
        <v>1013</v>
      </c>
      <c r="O12" t="s">
        <v>166</v>
      </c>
      <c r="P12" t="s">
        <v>166</v>
      </c>
      <c r="Q12">
        <v>1</v>
      </c>
      <c r="X12">
        <v>2.41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61</v>
      </c>
      <c r="AG12">
        <v>24.1</v>
      </c>
      <c r="AH12">
        <v>2</v>
      </c>
      <c r="AI12">
        <v>80889572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ROW(Source!A41)</f>
        <v>41</v>
      </c>
      <c r="B13">
        <v>80889573</v>
      </c>
      <c r="C13">
        <v>80889376</v>
      </c>
      <c r="D13">
        <v>80199986</v>
      </c>
      <c r="E13">
        <v>15514512</v>
      </c>
      <c r="F13">
        <v>1</v>
      </c>
      <c r="G13">
        <v>15514512</v>
      </c>
      <c r="H13">
        <v>1</v>
      </c>
      <c r="I13" t="s">
        <v>164</v>
      </c>
      <c r="J13" t="s">
        <v>3</v>
      </c>
      <c r="K13" t="s">
        <v>165</v>
      </c>
      <c r="L13">
        <v>1191</v>
      </c>
      <c r="N13">
        <v>1013</v>
      </c>
      <c r="O13" t="s">
        <v>166</v>
      </c>
      <c r="P13" t="s">
        <v>166</v>
      </c>
      <c r="Q13">
        <v>1</v>
      </c>
      <c r="X13">
        <v>0.37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3</v>
      </c>
      <c r="AG13">
        <v>0.37</v>
      </c>
      <c r="AH13">
        <v>2</v>
      </c>
      <c r="AI13">
        <v>80889573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ROW(Source!A41)</f>
        <v>41</v>
      </c>
      <c r="B14">
        <v>80889574</v>
      </c>
      <c r="C14">
        <v>80889376</v>
      </c>
      <c r="D14">
        <v>80212784</v>
      </c>
      <c r="E14">
        <v>1</v>
      </c>
      <c r="F14">
        <v>1</v>
      </c>
      <c r="G14">
        <v>15514512</v>
      </c>
      <c r="H14">
        <v>2</v>
      </c>
      <c r="I14" t="s">
        <v>177</v>
      </c>
      <c r="J14" t="s">
        <v>178</v>
      </c>
      <c r="K14" t="s">
        <v>179</v>
      </c>
      <c r="L14">
        <v>1368</v>
      </c>
      <c r="N14">
        <v>1011</v>
      </c>
      <c r="O14" t="s">
        <v>163</v>
      </c>
      <c r="P14" t="s">
        <v>163</v>
      </c>
      <c r="Q14">
        <v>1</v>
      </c>
      <c r="X14">
        <v>0.34</v>
      </c>
      <c r="Y14">
        <v>0</v>
      </c>
      <c r="Z14">
        <v>2097.0700000000002</v>
      </c>
      <c r="AA14">
        <v>1028.7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0.34</v>
      </c>
      <c r="AH14">
        <v>2</v>
      </c>
      <c r="AI14">
        <v>80889574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ROW(Source!A42)</f>
        <v>42</v>
      </c>
      <c r="B15">
        <v>80889575</v>
      </c>
      <c r="C15">
        <v>80889377</v>
      </c>
      <c r="D15">
        <v>80212784</v>
      </c>
      <c r="E15">
        <v>1</v>
      </c>
      <c r="F15">
        <v>1</v>
      </c>
      <c r="G15">
        <v>15514512</v>
      </c>
      <c r="H15">
        <v>2</v>
      </c>
      <c r="I15" t="s">
        <v>177</v>
      </c>
      <c r="J15" t="s">
        <v>178</v>
      </c>
      <c r="K15" t="s">
        <v>179</v>
      </c>
      <c r="L15">
        <v>1368</v>
      </c>
      <c r="N15">
        <v>1011</v>
      </c>
      <c r="O15" t="s">
        <v>163</v>
      </c>
      <c r="P15" t="s">
        <v>163</v>
      </c>
      <c r="Q15">
        <v>1</v>
      </c>
      <c r="X15">
        <v>0.09</v>
      </c>
      <c r="Y15">
        <v>0</v>
      </c>
      <c r="Z15">
        <v>2097.0700000000002</v>
      </c>
      <c r="AA15">
        <v>1028.7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0.09</v>
      </c>
      <c r="AH15">
        <v>2</v>
      </c>
      <c r="AI15">
        <v>80889575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ROW(Source!A78)</f>
        <v>78</v>
      </c>
      <c r="B16">
        <v>80889576</v>
      </c>
      <c r="C16">
        <v>80889441</v>
      </c>
      <c r="D16">
        <v>80213221</v>
      </c>
      <c r="E16">
        <v>1</v>
      </c>
      <c r="F16">
        <v>1</v>
      </c>
      <c r="G16">
        <v>15514512</v>
      </c>
      <c r="H16">
        <v>2</v>
      </c>
      <c r="I16" t="s">
        <v>167</v>
      </c>
      <c r="J16" t="s">
        <v>168</v>
      </c>
      <c r="K16" t="s">
        <v>169</v>
      </c>
      <c r="L16">
        <v>1368</v>
      </c>
      <c r="N16">
        <v>1011</v>
      </c>
      <c r="O16" t="s">
        <v>163</v>
      </c>
      <c r="P16" t="s">
        <v>163</v>
      </c>
      <c r="Q16">
        <v>1</v>
      </c>
      <c r="X16">
        <v>0.26</v>
      </c>
      <c r="Y16">
        <v>0</v>
      </c>
      <c r="Z16">
        <v>1783.28</v>
      </c>
      <c r="AA16">
        <v>842.87</v>
      </c>
      <c r="AB16">
        <v>0</v>
      </c>
      <c r="AC16">
        <v>0</v>
      </c>
      <c r="AD16">
        <v>1</v>
      </c>
      <c r="AE16">
        <v>0</v>
      </c>
      <c r="AF16" t="s">
        <v>125</v>
      </c>
      <c r="AG16">
        <v>17.16</v>
      </c>
      <c r="AH16">
        <v>2</v>
      </c>
      <c r="AI16">
        <v>80889576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ROW(Source!A78)</f>
        <v>78</v>
      </c>
      <c r="B17">
        <v>80889577</v>
      </c>
      <c r="C17">
        <v>80889441</v>
      </c>
      <c r="D17">
        <v>80215470</v>
      </c>
      <c r="E17">
        <v>1</v>
      </c>
      <c r="F17">
        <v>1</v>
      </c>
      <c r="G17">
        <v>15514512</v>
      </c>
      <c r="H17">
        <v>3</v>
      </c>
      <c r="I17" t="s">
        <v>36</v>
      </c>
      <c r="J17" t="s">
        <v>39</v>
      </c>
      <c r="K17" t="s">
        <v>37</v>
      </c>
      <c r="L17">
        <v>1339</v>
      </c>
      <c r="N17">
        <v>1007</v>
      </c>
      <c r="O17" t="s">
        <v>38</v>
      </c>
      <c r="P17" t="s">
        <v>38</v>
      </c>
      <c r="Q17">
        <v>1</v>
      </c>
      <c r="X17">
        <v>0.2</v>
      </c>
      <c r="Y17">
        <v>54.81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125</v>
      </c>
      <c r="AG17">
        <v>13.200000000000001</v>
      </c>
      <c r="AH17">
        <v>2</v>
      </c>
      <c r="AI17">
        <v>80889577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ROW(Source!A79)</f>
        <v>79</v>
      </c>
      <c r="B18">
        <v>80889578</v>
      </c>
      <c r="C18">
        <v>80889442</v>
      </c>
      <c r="D18">
        <v>80199986</v>
      </c>
      <c r="E18">
        <v>15514512</v>
      </c>
      <c r="F18">
        <v>1</v>
      </c>
      <c r="G18">
        <v>15514512</v>
      </c>
      <c r="H18">
        <v>1</v>
      </c>
      <c r="I18" t="s">
        <v>164</v>
      </c>
      <c r="J18" t="s">
        <v>3</v>
      </c>
      <c r="K18" t="s">
        <v>165</v>
      </c>
      <c r="L18">
        <v>1191</v>
      </c>
      <c r="N18">
        <v>1013</v>
      </c>
      <c r="O18" t="s">
        <v>166</v>
      </c>
      <c r="P18" t="s">
        <v>166</v>
      </c>
      <c r="Q18">
        <v>1</v>
      </c>
      <c r="X18">
        <v>0.14000000000000001</v>
      </c>
      <c r="Y18">
        <v>0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1</v>
      </c>
      <c r="AF18" t="s">
        <v>125</v>
      </c>
      <c r="AG18">
        <v>9.24</v>
      </c>
      <c r="AH18">
        <v>2</v>
      </c>
      <c r="AI18">
        <v>80889578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5">
      <c r="A19">
        <f>ROW(Source!A80)</f>
        <v>80</v>
      </c>
      <c r="B19">
        <v>80889579</v>
      </c>
      <c r="C19">
        <v>80889443</v>
      </c>
      <c r="D19">
        <v>80199986</v>
      </c>
      <c r="E19">
        <v>15514512</v>
      </c>
      <c r="F19">
        <v>1</v>
      </c>
      <c r="G19">
        <v>15514512</v>
      </c>
      <c r="H19">
        <v>1</v>
      </c>
      <c r="I19" t="s">
        <v>164</v>
      </c>
      <c r="J19" t="s">
        <v>3</v>
      </c>
      <c r="K19" t="s">
        <v>165</v>
      </c>
      <c r="L19">
        <v>1191</v>
      </c>
      <c r="N19">
        <v>1013</v>
      </c>
      <c r="O19" t="s">
        <v>166</v>
      </c>
      <c r="P19" t="s">
        <v>166</v>
      </c>
      <c r="Q19">
        <v>1</v>
      </c>
      <c r="X19">
        <v>0.24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1</v>
      </c>
      <c r="AF19" t="s">
        <v>125</v>
      </c>
      <c r="AG19">
        <v>15.84</v>
      </c>
      <c r="AH19">
        <v>2</v>
      </c>
      <c r="AI19">
        <v>80889579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5">
      <c r="A20">
        <f>ROW(Source!A81)</f>
        <v>81</v>
      </c>
      <c r="B20">
        <v>80889580</v>
      </c>
      <c r="C20">
        <v>80889445</v>
      </c>
      <c r="D20">
        <v>80213221</v>
      </c>
      <c r="E20">
        <v>1</v>
      </c>
      <c r="F20">
        <v>1</v>
      </c>
      <c r="G20">
        <v>15514512</v>
      </c>
      <c r="H20">
        <v>2</v>
      </c>
      <c r="I20" t="s">
        <v>167</v>
      </c>
      <c r="J20" t="s">
        <v>168</v>
      </c>
      <c r="K20" t="s">
        <v>169</v>
      </c>
      <c r="L20">
        <v>1368</v>
      </c>
      <c r="N20">
        <v>1011</v>
      </c>
      <c r="O20" t="s">
        <v>163</v>
      </c>
      <c r="P20" t="s">
        <v>163</v>
      </c>
      <c r="Q20">
        <v>1</v>
      </c>
      <c r="X20">
        <v>0.42</v>
      </c>
      <c r="Y20">
        <v>0</v>
      </c>
      <c r="Z20">
        <v>1783.28</v>
      </c>
      <c r="AA20">
        <v>842.87</v>
      </c>
      <c r="AB20">
        <v>0</v>
      </c>
      <c r="AC20">
        <v>0</v>
      </c>
      <c r="AD20">
        <v>1</v>
      </c>
      <c r="AE20">
        <v>0</v>
      </c>
      <c r="AF20" t="s">
        <v>131</v>
      </c>
      <c r="AG20">
        <v>5.88</v>
      </c>
      <c r="AH20">
        <v>2</v>
      </c>
      <c r="AI20">
        <v>80889580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5">
      <c r="A21">
        <f>ROW(Source!A81)</f>
        <v>81</v>
      </c>
      <c r="B21">
        <v>80889581</v>
      </c>
      <c r="C21">
        <v>80889445</v>
      </c>
      <c r="D21">
        <v>80215470</v>
      </c>
      <c r="E21">
        <v>1</v>
      </c>
      <c r="F21">
        <v>1</v>
      </c>
      <c r="G21">
        <v>15514512</v>
      </c>
      <c r="H21">
        <v>3</v>
      </c>
      <c r="I21" t="s">
        <v>36</v>
      </c>
      <c r="J21" t="s">
        <v>39</v>
      </c>
      <c r="K21" t="s">
        <v>37</v>
      </c>
      <c r="L21">
        <v>1339</v>
      </c>
      <c r="N21">
        <v>1007</v>
      </c>
      <c r="O21" t="s">
        <v>38</v>
      </c>
      <c r="P21" t="s">
        <v>38</v>
      </c>
      <c r="Q21">
        <v>1</v>
      </c>
      <c r="X21">
        <v>0.35</v>
      </c>
      <c r="Y21">
        <v>54.81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131</v>
      </c>
      <c r="AG21">
        <v>4.8999999999999995</v>
      </c>
      <c r="AH21">
        <v>2</v>
      </c>
      <c r="AI21">
        <v>80889581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5">
      <c r="A22">
        <f>ROW(Source!A83)</f>
        <v>83</v>
      </c>
      <c r="B22">
        <v>80889583</v>
      </c>
      <c r="C22">
        <v>80889446</v>
      </c>
      <c r="D22">
        <v>80213221</v>
      </c>
      <c r="E22">
        <v>1</v>
      </c>
      <c r="F22">
        <v>1</v>
      </c>
      <c r="G22">
        <v>15514512</v>
      </c>
      <c r="H22">
        <v>2</v>
      </c>
      <c r="I22" t="s">
        <v>167</v>
      </c>
      <c r="J22" t="s">
        <v>168</v>
      </c>
      <c r="K22" t="s">
        <v>169</v>
      </c>
      <c r="L22">
        <v>1368</v>
      </c>
      <c r="N22">
        <v>1011</v>
      </c>
      <c r="O22" t="s">
        <v>163</v>
      </c>
      <c r="P22" t="s">
        <v>163</v>
      </c>
      <c r="Q22">
        <v>1</v>
      </c>
      <c r="X22">
        <v>0.66</v>
      </c>
      <c r="Y22">
        <v>0</v>
      </c>
      <c r="Z22">
        <v>1783.28</v>
      </c>
      <c r="AA22">
        <v>842.87</v>
      </c>
      <c r="AB22">
        <v>0</v>
      </c>
      <c r="AC22">
        <v>0</v>
      </c>
      <c r="AD22">
        <v>1</v>
      </c>
      <c r="AE22">
        <v>0</v>
      </c>
      <c r="AF22" t="s">
        <v>136</v>
      </c>
      <c r="AG22">
        <v>1.32</v>
      </c>
      <c r="AH22">
        <v>2</v>
      </c>
      <c r="AI22">
        <v>80889583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5">
      <c r="A23">
        <f>ROW(Source!A83)</f>
        <v>83</v>
      </c>
      <c r="B23">
        <v>80889584</v>
      </c>
      <c r="C23">
        <v>80889446</v>
      </c>
      <c r="D23">
        <v>80215394</v>
      </c>
      <c r="E23">
        <v>1</v>
      </c>
      <c r="F23">
        <v>1</v>
      </c>
      <c r="G23">
        <v>15514512</v>
      </c>
      <c r="H23">
        <v>3</v>
      </c>
      <c r="I23" t="s">
        <v>180</v>
      </c>
      <c r="J23" t="s">
        <v>181</v>
      </c>
      <c r="K23" t="s">
        <v>182</v>
      </c>
      <c r="L23">
        <v>1296</v>
      </c>
      <c r="N23">
        <v>1002</v>
      </c>
      <c r="O23" t="s">
        <v>183</v>
      </c>
      <c r="P23" t="s">
        <v>183</v>
      </c>
      <c r="Q23">
        <v>1</v>
      </c>
      <c r="X23">
        <v>1.1200000000000001</v>
      </c>
      <c r="Y23">
        <v>256.36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136</v>
      </c>
      <c r="AG23">
        <v>2.2400000000000002</v>
      </c>
      <c r="AH23">
        <v>2</v>
      </c>
      <c r="AI23">
        <v>80889584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5">
      <c r="A24">
        <f>ROW(Source!A83)</f>
        <v>83</v>
      </c>
      <c r="B24">
        <v>80889585</v>
      </c>
      <c r="C24">
        <v>80889446</v>
      </c>
      <c r="D24">
        <v>80215470</v>
      </c>
      <c r="E24">
        <v>1</v>
      </c>
      <c r="F24">
        <v>1</v>
      </c>
      <c r="G24">
        <v>15514512</v>
      </c>
      <c r="H24">
        <v>3</v>
      </c>
      <c r="I24" t="s">
        <v>36</v>
      </c>
      <c r="J24" t="s">
        <v>39</v>
      </c>
      <c r="K24" t="s">
        <v>37</v>
      </c>
      <c r="L24">
        <v>1339</v>
      </c>
      <c r="N24">
        <v>1007</v>
      </c>
      <c r="O24" t="s">
        <v>38</v>
      </c>
      <c r="P24" t="s">
        <v>38</v>
      </c>
      <c r="Q24">
        <v>1</v>
      </c>
      <c r="X24">
        <v>1.1200000000000001</v>
      </c>
      <c r="Y24">
        <v>54.81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136</v>
      </c>
      <c r="AG24">
        <v>2.2400000000000002</v>
      </c>
      <c r="AH24">
        <v>2</v>
      </c>
      <c r="AI24">
        <v>80889585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5">
      <c r="A25">
        <f>ROW(Source!A120)</f>
        <v>120</v>
      </c>
      <c r="B25">
        <v>80889593</v>
      </c>
      <c r="C25">
        <v>80889514</v>
      </c>
      <c r="D25">
        <v>80199986</v>
      </c>
      <c r="E25">
        <v>15514512</v>
      </c>
      <c r="F25">
        <v>1</v>
      </c>
      <c r="G25">
        <v>15514512</v>
      </c>
      <c r="H25">
        <v>1</v>
      </c>
      <c r="I25" t="s">
        <v>164</v>
      </c>
      <c r="J25" t="s">
        <v>3</v>
      </c>
      <c r="K25" t="s">
        <v>165</v>
      </c>
      <c r="L25">
        <v>1191</v>
      </c>
      <c r="N25">
        <v>1013</v>
      </c>
      <c r="O25" t="s">
        <v>166</v>
      </c>
      <c r="P25" t="s">
        <v>166</v>
      </c>
      <c r="Q25">
        <v>1</v>
      </c>
      <c r="X25">
        <v>0.05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141</v>
      </c>
      <c r="AG25">
        <v>2.8000000000000003</v>
      </c>
      <c r="AH25">
        <v>2</v>
      </c>
      <c r="AI25">
        <v>80889593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5">
      <c r="A26">
        <f>ROW(Source!A120)</f>
        <v>120</v>
      </c>
      <c r="B26">
        <v>80889594</v>
      </c>
      <c r="C26">
        <v>80889514</v>
      </c>
      <c r="D26">
        <v>80215861</v>
      </c>
      <c r="E26">
        <v>1</v>
      </c>
      <c r="F26">
        <v>1</v>
      </c>
      <c r="G26">
        <v>15514512</v>
      </c>
      <c r="H26">
        <v>3</v>
      </c>
      <c r="I26" t="s">
        <v>184</v>
      </c>
      <c r="J26" t="s">
        <v>185</v>
      </c>
      <c r="K26" t="s">
        <v>186</v>
      </c>
      <c r="L26">
        <v>1354</v>
      </c>
      <c r="N26">
        <v>1010</v>
      </c>
      <c r="O26" t="s">
        <v>187</v>
      </c>
      <c r="P26" t="s">
        <v>187</v>
      </c>
      <c r="Q26">
        <v>1</v>
      </c>
      <c r="X26">
        <v>0.1</v>
      </c>
      <c r="Y26">
        <v>9.1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141</v>
      </c>
      <c r="AG26">
        <v>5.6000000000000005</v>
      </c>
      <c r="AH26">
        <v>2</v>
      </c>
      <c r="AI26">
        <v>80889594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5">
      <c r="A27">
        <f>ROW(Source!A121)</f>
        <v>121</v>
      </c>
      <c r="B27">
        <v>80889595</v>
      </c>
      <c r="C27">
        <v>80889515</v>
      </c>
      <c r="D27">
        <v>80199986</v>
      </c>
      <c r="E27">
        <v>15514512</v>
      </c>
      <c r="F27">
        <v>1</v>
      </c>
      <c r="G27">
        <v>15514512</v>
      </c>
      <c r="H27">
        <v>1</v>
      </c>
      <c r="I27" t="s">
        <v>164</v>
      </c>
      <c r="J27" t="s">
        <v>3</v>
      </c>
      <c r="K27" t="s">
        <v>165</v>
      </c>
      <c r="L27">
        <v>1191</v>
      </c>
      <c r="N27">
        <v>1013</v>
      </c>
      <c r="O27" t="s">
        <v>166</v>
      </c>
      <c r="P27" t="s">
        <v>166</v>
      </c>
      <c r="Q27">
        <v>1</v>
      </c>
      <c r="X27">
        <v>0.98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1</v>
      </c>
      <c r="AF27" t="s">
        <v>146</v>
      </c>
      <c r="AG27">
        <v>4.9000000000000004</v>
      </c>
      <c r="AH27">
        <v>2</v>
      </c>
      <c r="AI27">
        <v>80889595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5">
      <c r="A28">
        <f>ROW(Source!A121)</f>
        <v>121</v>
      </c>
      <c r="B28">
        <v>80889596</v>
      </c>
      <c r="C28">
        <v>80889515</v>
      </c>
      <c r="D28">
        <v>80213130</v>
      </c>
      <c r="E28">
        <v>1</v>
      </c>
      <c r="F28">
        <v>1</v>
      </c>
      <c r="G28">
        <v>15514512</v>
      </c>
      <c r="H28">
        <v>2</v>
      </c>
      <c r="I28" t="s">
        <v>188</v>
      </c>
      <c r="J28" t="s">
        <v>189</v>
      </c>
      <c r="K28" t="s">
        <v>190</v>
      </c>
      <c r="L28">
        <v>1368</v>
      </c>
      <c r="N28">
        <v>1011</v>
      </c>
      <c r="O28" t="s">
        <v>163</v>
      </c>
      <c r="P28" t="s">
        <v>163</v>
      </c>
      <c r="Q28">
        <v>1</v>
      </c>
      <c r="X28">
        <v>0.75</v>
      </c>
      <c r="Y28">
        <v>0</v>
      </c>
      <c r="Z28">
        <v>32.590000000000003</v>
      </c>
      <c r="AA28">
        <v>3.28</v>
      </c>
      <c r="AB28">
        <v>0</v>
      </c>
      <c r="AC28">
        <v>0</v>
      </c>
      <c r="AD28">
        <v>1</v>
      </c>
      <c r="AE28">
        <v>0</v>
      </c>
      <c r="AF28" t="s">
        <v>146</v>
      </c>
      <c r="AG28">
        <v>3.75</v>
      </c>
      <c r="AH28">
        <v>2</v>
      </c>
      <c r="AI28">
        <v>80889596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5">
      <c r="A29">
        <f>ROW(Source!A122)</f>
        <v>122</v>
      </c>
      <c r="B29">
        <v>80889597</v>
      </c>
      <c r="C29">
        <v>80889516</v>
      </c>
      <c r="D29">
        <v>80199986</v>
      </c>
      <c r="E29">
        <v>15514512</v>
      </c>
      <c r="F29">
        <v>1</v>
      </c>
      <c r="G29">
        <v>15514512</v>
      </c>
      <c r="H29">
        <v>1</v>
      </c>
      <c r="I29" t="s">
        <v>164</v>
      </c>
      <c r="J29" t="s">
        <v>3</v>
      </c>
      <c r="K29" t="s">
        <v>165</v>
      </c>
      <c r="L29">
        <v>1191</v>
      </c>
      <c r="N29">
        <v>1013</v>
      </c>
      <c r="O29" t="s">
        <v>166</v>
      </c>
      <c r="P29" t="s">
        <v>166</v>
      </c>
      <c r="Q29">
        <v>1</v>
      </c>
      <c r="X29">
        <v>0.56000000000000005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1</v>
      </c>
      <c r="AF29" t="s">
        <v>136</v>
      </c>
      <c r="AG29">
        <v>1.1200000000000001</v>
      </c>
      <c r="AH29">
        <v>2</v>
      </c>
      <c r="AI29">
        <v>80889597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5">
      <c r="A30">
        <f>ROW(Source!A122)</f>
        <v>122</v>
      </c>
      <c r="B30">
        <v>80889598</v>
      </c>
      <c r="C30">
        <v>80889516</v>
      </c>
      <c r="D30">
        <v>80212805</v>
      </c>
      <c r="E30">
        <v>1</v>
      </c>
      <c r="F30">
        <v>1</v>
      </c>
      <c r="G30">
        <v>15514512</v>
      </c>
      <c r="H30">
        <v>2</v>
      </c>
      <c r="I30" t="s">
        <v>191</v>
      </c>
      <c r="J30" t="s">
        <v>192</v>
      </c>
      <c r="K30" t="s">
        <v>193</v>
      </c>
      <c r="L30">
        <v>1368</v>
      </c>
      <c r="N30">
        <v>1011</v>
      </c>
      <c r="O30" t="s">
        <v>163</v>
      </c>
      <c r="P30" t="s">
        <v>163</v>
      </c>
      <c r="Q30">
        <v>1</v>
      </c>
      <c r="X30">
        <v>0.3</v>
      </c>
      <c r="Y30">
        <v>0</v>
      </c>
      <c r="Z30">
        <v>2997.56</v>
      </c>
      <c r="AA30">
        <v>1034.8599999999999</v>
      </c>
      <c r="AB30">
        <v>0</v>
      </c>
      <c r="AC30">
        <v>0</v>
      </c>
      <c r="AD30">
        <v>1</v>
      </c>
      <c r="AE30">
        <v>0</v>
      </c>
      <c r="AF30" t="s">
        <v>136</v>
      </c>
      <c r="AG30">
        <v>0.6</v>
      </c>
      <c r="AH30">
        <v>2</v>
      </c>
      <c r="AI30">
        <v>80889598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5">
      <c r="A31">
        <f>ROW(Source!A122)</f>
        <v>122</v>
      </c>
      <c r="B31">
        <v>80889599</v>
      </c>
      <c r="C31">
        <v>80889516</v>
      </c>
      <c r="D31">
        <v>80215470</v>
      </c>
      <c r="E31">
        <v>1</v>
      </c>
      <c r="F31">
        <v>1</v>
      </c>
      <c r="G31">
        <v>15514512</v>
      </c>
      <c r="H31">
        <v>3</v>
      </c>
      <c r="I31" t="s">
        <v>36</v>
      </c>
      <c r="J31" t="s">
        <v>39</v>
      </c>
      <c r="K31" t="s">
        <v>37</v>
      </c>
      <c r="L31">
        <v>1339</v>
      </c>
      <c r="N31">
        <v>1007</v>
      </c>
      <c r="O31" t="s">
        <v>38</v>
      </c>
      <c r="P31" t="s">
        <v>38</v>
      </c>
      <c r="Q31">
        <v>1</v>
      </c>
      <c r="X31">
        <v>1</v>
      </c>
      <c r="Y31">
        <v>54.81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136</v>
      </c>
      <c r="AG31">
        <v>2</v>
      </c>
      <c r="AH31">
        <v>2</v>
      </c>
      <c r="AI31">
        <v>80889599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85947-3E68-4093-BC56-9CC35D0476D0}">
  <dimension ref="A1"/>
  <sheetViews>
    <sheetView workbookViewId="0"/>
  </sheetViews>
  <sheetFormatPr defaultColWidth="9.1796875" defaultRowHeight="12.5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6796F-5821-4A57-8173-BCB02F4F5BEC}">
  <dimension ref="A1:CY1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0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03" x14ac:dyDescent="0.25">
      <c r="F12" t="str">
        <f>Source!F12</f>
        <v>Новый объект</v>
      </c>
      <c r="G12" t="str">
        <f>Source!G12</f>
        <v>Зона 4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>
        <v>0</v>
      </c>
      <c r="AK12" t="s">
        <v>3</v>
      </c>
      <c r="AL12" t="s">
        <v>3</v>
      </c>
      <c r="AM12" t="s">
        <v>3</v>
      </c>
      <c r="CY1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Смета СН-2012 по гл. 1-5,7</vt:lpstr>
      <vt:lpstr>Ведомость объемов работ</vt:lpstr>
      <vt:lpstr>Source</vt:lpstr>
      <vt:lpstr>SourceObSm</vt:lpstr>
      <vt:lpstr>SmtRes</vt:lpstr>
      <vt:lpstr>EtalonRes</vt:lpstr>
      <vt:lpstr>SrcPoprs</vt:lpstr>
      <vt:lpstr>SrcKA</vt:lpstr>
      <vt:lpstr>'Ведомость объемов работ'!Заголовки_для_печати</vt:lpstr>
      <vt:lpstr>'Смета СН-2012 по гл. 1-5,7'!Заголовки_для_печати</vt:lpstr>
      <vt:lpstr>'Ведомость объемов работ'!Область_печати</vt:lpstr>
      <vt:lpstr>'Смета СН-2012 по гл. 1-5,7'!Область_печати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2025-12-01T14:16:44Z</dcterms:created>
  <dcterms:modified xsi:type="dcterms:W3CDTF">2025-12-09T09:41:22Z</dcterms:modified>
</cp:coreProperties>
</file>